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4050" activeTab="0"/>
  </bookViews>
  <sheets>
    <sheet name="2017 по 1 листопада 2017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<sst xmlns="http://schemas.openxmlformats.org/spreadsheetml/2006/main" count="167" uniqueCount="165">
  <si>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№ П/П</t>
  </si>
  <si>
    <t>Багринівська ЗОШ</t>
  </si>
  <si>
    <t>Йорданештська  ЗОШ 1</t>
  </si>
  <si>
    <t>Камянська  ЗОШ</t>
  </si>
  <si>
    <t>Корчівецька ЗОШ</t>
  </si>
  <si>
    <t>Коровійська ЗОШ</t>
  </si>
  <si>
    <t>Карапчівський  ліцей</t>
  </si>
  <si>
    <t>Купський  НВК</t>
  </si>
  <si>
    <t>Купський НВК №2</t>
  </si>
  <si>
    <t>Луковецька  ЗОШ</t>
  </si>
  <si>
    <t>Молодійська ЗОШ</t>
  </si>
  <si>
    <t>Опришенська  ЗОШ</t>
  </si>
  <si>
    <t>Ст.Вовчинецький  ліцей</t>
  </si>
  <si>
    <t>Стерчанська  ЗОШ</t>
  </si>
  <si>
    <t>Сучевенська  ЗОШ</t>
  </si>
  <si>
    <t>Тарашанська  ЗОШ</t>
  </si>
  <si>
    <t>Турятський  НВК</t>
  </si>
  <si>
    <t>Чагорська  ЗОШ</t>
  </si>
  <si>
    <t>Черепковецька  ЗОШ</t>
  </si>
  <si>
    <t>Йорданештська ЗОШ №2</t>
  </si>
  <si>
    <t>Привороцька  ЗОШ</t>
  </si>
  <si>
    <t>Просіцька  ЗОШ</t>
  </si>
  <si>
    <t>Кутбаїнська  ЗОШ</t>
  </si>
  <si>
    <t>Нововочинецький  НВК</t>
  </si>
  <si>
    <t>Петричанський  НВК</t>
  </si>
  <si>
    <t>Просокирянська  ЗОШ</t>
  </si>
  <si>
    <t>РАЗОМ:</t>
  </si>
  <si>
    <t>Камянський  ДНЗ</t>
  </si>
  <si>
    <t>Камянський ДНЗ(ясла-сад)</t>
  </si>
  <si>
    <t>Молодійський  ДНЗ</t>
  </si>
  <si>
    <t>Луковецький  ДНЗ</t>
  </si>
  <si>
    <t>Полянський  ДНЗ</t>
  </si>
  <si>
    <t>Всього  по школі :</t>
  </si>
  <si>
    <t>Господарські  товари</t>
  </si>
  <si>
    <t>Будівельні  матеріали</t>
  </si>
  <si>
    <t>Канцтовари</t>
  </si>
  <si>
    <t>Миючі  засоби</t>
  </si>
  <si>
    <t>Печатка та штамп</t>
  </si>
  <si>
    <t>Сканер</t>
  </si>
  <si>
    <t>Жалюзі</t>
  </si>
  <si>
    <t>Насос</t>
  </si>
  <si>
    <t>Дошка  обрізна</t>
  </si>
  <si>
    <t>Фарба</t>
  </si>
  <si>
    <t>Витяжка</t>
  </si>
  <si>
    <t>Електросушка</t>
  </si>
  <si>
    <t>Сантехніка</t>
  </si>
  <si>
    <t>Коврові  килими</t>
  </si>
  <si>
    <t>Мякий  інвентар</t>
  </si>
  <si>
    <t>Пилосос</t>
  </si>
  <si>
    <t>Електролічильник</t>
  </si>
  <si>
    <t>Черепківський  ДНЗ</t>
  </si>
  <si>
    <t>Пральна машинка</t>
  </si>
  <si>
    <t>Медикаменти</t>
  </si>
  <si>
    <t>Призи</t>
  </si>
  <si>
    <t>Дверний  блок(деревянний)</t>
  </si>
  <si>
    <t>Бойлер</t>
  </si>
  <si>
    <t>Димківський  НВК</t>
  </si>
  <si>
    <t>Крейда</t>
  </si>
  <si>
    <t>Дошка  аудиторна</t>
  </si>
  <si>
    <t>Стенди</t>
  </si>
  <si>
    <t>Бетонні  кільця</t>
  </si>
  <si>
    <t>Пиломатеріали</t>
  </si>
  <si>
    <t>Спортінвентар</t>
  </si>
  <si>
    <t>Радіатори</t>
  </si>
  <si>
    <t>Конвектори</t>
  </si>
  <si>
    <t>Вогнегасники</t>
  </si>
  <si>
    <t>Принтер</t>
  </si>
  <si>
    <t>Фотоапарат</t>
  </si>
  <si>
    <t>Магнітофон</t>
  </si>
  <si>
    <t>Металопластикові  вікна та двері</t>
  </si>
  <si>
    <t>Швейні машинки</t>
  </si>
  <si>
    <t>Морозильна  камера, холодильник</t>
  </si>
  <si>
    <t>Електротовари</t>
  </si>
  <si>
    <t>Компютер, комп.техніка</t>
  </si>
  <si>
    <t>Іграшки</t>
  </si>
  <si>
    <t>Бетонні вироби(плити з/бетонні забори, стовби)</t>
  </si>
  <si>
    <t>реактиви</t>
  </si>
  <si>
    <t>Меблі</t>
  </si>
  <si>
    <t>Двері ДСП</t>
  </si>
  <si>
    <t xml:space="preserve"> </t>
  </si>
  <si>
    <t>Пожежний щит</t>
  </si>
  <si>
    <t>Постільна білизна,рушники,        покривала,матраци</t>
  </si>
  <si>
    <t>Металопластикові  конструкції</t>
  </si>
  <si>
    <t>Станівецький НВК</t>
  </si>
  <si>
    <t>Дзеркало</t>
  </si>
  <si>
    <t>Стелажі бібліотечні</t>
  </si>
  <si>
    <t>Бензопила</t>
  </si>
  <si>
    <t>Вироби з нерж.сталі</t>
  </si>
  <si>
    <t>Сейф</t>
  </si>
  <si>
    <t>Ванна моєчна</t>
  </si>
  <si>
    <t>Устаткування вимірювальне</t>
  </si>
  <si>
    <t xml:space="preserve">Плитка </t>
  </si>
  <si>
    <t>Трансформатор</t>
  </si>
  <si>
    <t>Брус</t>
  </si>
  <si>
    <t>Ламінат</t>
  </si>
  <si>
    <t>Сигналізатор</t>
  </si>
  <si>
    <t>ліноліум</t>
  </si>
  <si>
    <t>Слобідський НВК</t>
  </si>
  <si>
    <t>тачки грузові</t>
  </si>
  <si>
    <t>Металопрофіль</t>
  </si>
  <si>
    <t>електрод '' Тeплон''</t>
  </si>
  <si>
    <t>техпаспорта</t>
  </si>
  <si>
    <t>ноутбук</t>
  </si>
  <si>
    <t>хімреактиви</t>
  </si>
  <si>
    <t>вугілля</t>
  </si>
  <si>
    <t>труби профільні</t>
  </si>
  <si>
    <t>музейні вітрини</t>
  </si>
  <si>
    <t>лічильник газу</t>
  </si>
  <si>
    <t>плитка тротуарна</t>
  </si>
  <si>
    <t>плитка для підлоги</t>
  </si>
  <si>
    <t>бензин, дизпаливо, масло</t>
  </si>
  <si>
    <t>дрова</t>
  </si>
  <si>
    <t>кондиціонер</t>
  </si>
  <si>
    <t>колосники, рушта</t>
  </si>
  <si>
    <t>шафа жарочна</t>
  </si>
  <si>
    <t>системний блок</t>
  </si>
  <si>
    <t>мясорубка</t>
  </si>
  <si>
    <t xml:space="preserve">посуд (кружки,тарілки,відра,миски емаль.,каструлі,чайники,ложки,вилки) </t>
  </si>
  <si>
    <t>столи виробничі</t>
  </si>
  <si>
    <t>Кухонне обладнання (вага)</t>
  </si>
  <si>
    <t>новорічні подарунки</t>
  </si>
  <si>
    <t>телевізор</t>
  </si>
  <si>
    <t>навчальний кабінет</t>
  </si>
  <si>
    <t>газонокосарка</t>
  </si>
  <si>
    <t>Кубки,медалі,дипломи</t>
  </si>
  <si>
    <t>електродвигун 3-х фазний</t>
  </si>
  <si>
    <t>Дезинфікуючі  засоби</t>
  </si>
  <si>
    <t>мультимедійний проектор</t>
  </si>
  <si>
    <t>Деревяні вікна та двері</t>
  </si>
  <si>
    <t>Металеві вироби ( ворота, поручча,огорожа,перегородки)</t>
  </si>
  <si>
    <t>Динаміки</t>
  </si>
  <si>
    <t>Музичні інструменти</t>
  </si>
  <si>
    <t>Шкільна документація</t>
  </si>
  <si>
    <t>електротен</t>
  </si>
  <si>
    <t>Праска</t>
  </si>
  <si>
    <t>Електроплитка кухонна</t>
  </si>
  <si>
    <t>Ліжко дитяче</t>
  </si>
  <si>
    <t>Підручники</t>
  </si>
  <si>
    <t>бочка (бачок для води)</t>
  </si>
  <si>
    <t>котел (опалення)</t>
  </si>
  <si>
    <t>Генератор</t>
  </si>
  <si>
    <t>оголовок колодязя</t>
  </si>
  <si>
    <t>Електричний котел</t>
  </si>
  <si>
    <t>Запчастини до автобуса,автомоб.</t>
  </si>
  <si>
    <t>стелажі нержав.(кухня)</t>
  </si>
  <si>
    <t>Наочність (плакати,карти)</t>
  </si>
  <si>
    <t>макет АКС</t>
  </si>
  <si>
    <t>Карапчівський ДНЗ</t>
  </si>
  <si>
    <t>Корчівецький ДНЗ</t>
  </si>
  <si>
    <t>Йорданештський ДНЗ</t>
  </si>
  <si>
    <t>Шини автомобільні</t>
  </si>
  <si>
    <t>Камянський  ДНЗ (фундоя)</t>
  </si>
  <si>
    <t>Мікрофон,кабель (аудіоапаратура)</t>
  </si>
  <si>
    <t>вагонка дерев"яна</t>
  </si>
  <si>
    <t>Ігровий дитячий майданчик</t>
  </si>
  <si>
    <t>Електрокомфорки</t>
  </si>
  <si>
    <t>Металеві карнізи, тюль</t>
  </si>
  <si>
    <t>Двері вхідні</t>
  </si>
  <si>
    <t>Кушетка медична</t>
  </si>
  <si>
    <t>Вага медична</t>
  </si>
  <si>
    <t>Опромінювач бактерицидний</t>
  </si>
  <si>
    <t>Холодильник для медикаментів</t>
  </si>
  <si>
    <t>Демонстраційне обладнання (кабінет хімії)</t>
  </si>
  <si>
    <t>Збірка "Кобзар"</t>
  </si>
  <si>
    <t xml:space="preserve">Найменування  товару ПРИДБАНОГО В 2017р.(зі складу - залишки з 2016р.) по 01.11.17р.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</si>
</sst>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</numFmts>
  <fonts count="24"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11" borderId="10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 wrapText="1"/>
    </xf>
    <xf numFmtId="0" fontId="3" fillId="11" borderId="11" xfId="0" applyFont="1" applyFill="1" applyBorder="1" applyAlignment="1">
      <alignment horizontal="center" vertical="center" textRotation="90"/>
    </xf>
    <xf numFmtId="0" fontId="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2" fontId="2" fillId="24" borderId="11" xfId="0" applyNumberFormat="1" applyFont="1" applyFill="1" applyBorder="1" applyAlignment="1">
      <alignment horizontal="center"/>
    </xf>
    <xf numFmtId="2" fontId="3" fillId="24" borderId="19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" fontId="2" fillId="24" borderId="20" xfId="0" applyNumberFormat="1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/>
    </xf>
    <xf numFmtId="2" fontId="2" fillId="24" borderId="21" xfId="0" applyNumberFormat="1" applyFont="1" applyFill="1" applyBorder="1" applyAlignment="1">
      <alignment horizontal="center"/>
    </xf>
    <xf numFmtId="2" fontId="2" fillId="24" borderId="22" xfId="0" applyNumberFormat="1" applyFont="1" applyFill="1" applyBorder="1" applyAlignment="1">
      <alignment horizontal="center"/>
    </xf>
    <xf numFmtId="2" fontId="2" fillId="24" borderId="23" xfId="0" applyNumberFormat="1" applyFont="1" applyFill="1" applyBorder="1" applyAlignment="1">
      <alignment horizontal="center"/>
    </xf>
    <xf numFmtId="2" fontId="2" fillId="24" borderId="24" xfId="0" applyNumberFormat="1" applyFont="1" applyFill="1" applyBorder="1" applyAlignment="1">
      <alignment horizontal="center"/>
    </xf>
    <xf numFmtId="4" fontId="3" fillId="24" borderId="25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4" fontId="3" fillId="24" borderId="20" xfId="0" applyNumberFormat="1" applyFont="1" applyFill="1" applyBorder="1" applyAlignment="1">
      <alignment horizontal="center"/>
    </xf>
    <xf numFmtId="4" fontId="3" fillId="24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textRotation="90" wrapText="1"/>
    </xf>
    <xf numFmtId="2" fontId="22" fillId="24" borderId="23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2" fillId="0" borderId="2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172" fontId="2" fillId="0" borderId="20" xfId="42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2" fontId="22" fillId="0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 textRotation="255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5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R1" sqref="AR1"/>
    </sheetView>
  </sheetViews>
  <sheetFormatPr defaultColWidth="9.140625" defaultRowHeight="15"/>
  <cols>
    <col min="1" max="1" width="2.57421875" style="1" customWidth="1"/>
    <col min="2" max="2" width="34.421875" style="2" customWidth="1"/>
    <col min="3" max="3" width="11.28125" style="3" customWidth="1"/>
    <col min="4" max="4" width="10.7109375" style="3" customWidth="1"/>
    <col min="5" max="5" width="11.7109375" style="3" customWidth="1"/>
    <col min="6" max="6" width="11.140625" style="3" customWidth="1"/>
    <col min="7" max="7" width="11.8515625" style="3" customWidth="1"/>
    <col min="8" max="8" width="10.7109375" style="3" customWidth="1"/>
    <col min="9" max="9" width="9.57421875" style="3" customWidth="1"/>
    <col min="10" max="10" width="10.7109375" style="3" customWidth="1"/>
    <col min="11" max="11" width="9.57421875" style="3" customWidth="1"/>
    <col min="12" max="12" width="10.57421875" style="3" customWidth="1"/>
    <col min="13" max="13" width="9.57421875" style="3" customWidth="1"/>
    <col min="14" max="14" width="9.8515625" style="3" customWidth="1"/>
    <col min="15" max="15" width="11.421875" style="3" customWidth="1"/>
    <col min="16" max="16" width="10.7109375" style="3" customWidth="1"/>
    <col min="17" max="17" width="11.140625" style="3" customWidth="1"/>
    <col min="18" max="18" width="11.00390625" style="3" customWidth="1"/>
    <col min="19" max="19" width="11.28125" style="3" customWidth="1"/>
    <col min="20" max="20" width="11.140625" style="3" customWidth="1"/>
    <col min="21" max="22" width="11.00390625" style="3" customWidth="1"/>
    <col min="23" max="23" width="9.8515625" style="3" customWidth="1"/>
    <col min="24" max="24" width="10.28125" style="3" customWidth="1"/>
    <col min="25" max="25" width="9.57421875" style="3" customWidth="1"/>
    <col min="26" max="26" width="11.8515625" style="3" customWidth="1"/>
    <col min="27" max="27" width="10.00390625" style="3" customWidth="1"/>
    <col min="28" max="28" width="9.7109375" style="3" customWidth="1"/>
    <col min="29" max="29" width="9.28125" style="3" customWidth="1"/>
    <col min="30" max="31" width="9.421875" style="3" customWidth="1"/>
    <col min="32" max="33" width="10.00390625" style="3" customWidth="1"/>
    <col min="34" max="34" width="9.8515625" style="3" customWidth="1"/>
    <col min="35" max="35" width="8.8515625" style="3" customWidth="1"/>
    <col min="36" max="36" width="9.00390625" style="3" customWidth="1"/>
    <col min="37" max="40" width="9.28125" style="3" customWidth="1"/>
    <col min="41" max="41" width="15.28125" style="5" customWidth="1"/>
    <col min="42" max="42" width="16.00390625" style="4" customWidth="1"/>
  </cols>
  <sheetData>
    <row r="1" spans="1:42" ht="145.5">
      <c r="A1" s="84" t="s">
        <v>0</v>
      </c>
      <c r="B1" s="82" t="s">
        <v>164</v>
      </c>
      <c r="C1" s="8" t="s">
        <v>1</v>
      </c>
      <c r="D1" s="8" t="s">
        <v>56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83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10" t="s">
        <v>21</v>
      </c>
      <c r="Z1" s="10" t="s">
        <v>97</v>
      </c>
      <c r="AA1" s="10" t="s">
        <v>22</v>
      </c>
      <c r="AB1" s="10" t="s">
        <v>23</v>
      </c>
      <c r="AC1" s="9" t="s">
        <v>24</v>
      </c>
      <c r="AD1" s="9" t="s">
        <v>25</v>
      </c>
      <c r="AE1" s="36" t="s">
        <v>27</v>
      </c>
      <c r="AF1" s="36" t="s">
        <v>28</v>
      </c>
      <c r="AG1" s="36" t="s">
        <v>151</v>
      </c>
      <c r="AH1" s="36" t="s">
        <v>29</v>
      </c>
      <c r="AI1" s="36" t="s">
        <v>30</v>
      </c>
      <c r="AJ1" s="36" t="s">
        <v>31</v>
      </c>
      <c r="AK1" s="36" t="s">
        <v>50</v>
      </c>
      <c r="AL1" s="36" t="s">
        <v>147</v>
      </c>
      <c r="AM1" s="36" t="s">
        <v>148</v>
      </c>
      <c r="AN1" s="36" t="s">
        <v>149</v>
      </c>
      <c r="AO1" s="80" t="s">
        <v>26</v>
      </c>
      <c r="AP1" s="6"/>
    </row>
    <row r="2" spans="1:41" ht="16.5" thickBot="1">
      <c r="A2" s="85"/>
      <c r="B2" s="83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>
        <v>28</v>
      </c>
      <c r="AE2" s="15">
        <v>29</v>
      </c>
      <c r="AF2" s="15">
        <v>30</v>
      </c>
      <c r="AG2" s="15"/>
      <c r="AH2" s="15">
        <v>31</v>
      </c>
      <c r="AI2" s="15">
        <v>32</v>
      </c>
      <c r="AJ2" s="15">
        <v>33</v>
      </c>
      <c r="AK2" s="15">
        <v>34</v>
      </c>
      <c r="AL2" s="15">
        <v>35</v>
      </c>
      <c r="AM2" s="15">
        <v>36</v>
      </c>
      <c r="AN2" s="15">
        <v>37</v>
      </c>
      <c r="AO2" s="81"/>
    </row>
    <row r="3" spans="1:48" ht="16.5" thickBot="1">
      <c r="A3" s="89"/>
      <c r="B3" s="41" t="s">
        <v>33</v>
      </c>
      <c r="C3" s="42"/>
      <c r="D3" s="42">
        <f>3393</f>
        <v>3393</v>
      </c>
      <c r="E3" s="42"/>
      <c r="F3" s="42"/>
      <c r="G3" s="42"/>
      <c r="H3" s="42"/>
      <c r="I3" s="42">
        <f>1014</f>
        <v>1014</v>
      </c>
      <c r="J3" s="42"/>
      <c r="K3" s="42"/>
      <c r="L3" s="42">
        <f>6336</f>
        <v>6336</v>
      </c>
      <c r="M3" s="42"/>
      <c r="N3" s="42">
        <f>7850</f>
        <v>7850</v>
      </c>
      <c r="O3" s="42">
        <f>4385+1560+5343</f>
        <v>11288</v>
      </c>
      <c r="P3" s="42" t="s">
        <v>79</v>
      </c>
      <c r="Q3" s="42">
        <f>1270+595+2950</f>
        <v>4815</v>
      </c>
      <c r="R3" s="42"/>
      <c r="S3" s="42">
        <f>3615</f>
        <v>3615</v>
      </c>
      <c r="T3" s="18">
        <f>2631+1948</f>
        <v>4579</v>
      </c>
      <c r="U3" s="18"/>
      <c r="V3" s="18"/>
      <c r="W3" s="18"/>
      <c r="X3" s="18">
        <f>2200</f>
        <v>2200</v>
      </c>
      <c r="Y3" s="18"/>
      <c r="Z3" s="18">
        <f>1980+1400</f>
        <v>3380</v>
      </c>
      <c r="AA3" s="18"/>
      <c r="AB3" s="18"/>
      <c r="AC3" s="18"/>
      <c r="AD3" s="18"/>
      <c r="AE3" s="18"/>
      <c r="AF3" s="18"/>
      <c r="AG3" s="18">
        <f>900</f>
        <v>900</v>
      </c>
      <c r="AH3" s="18"/>
      <c r="AI3" s="18"/>
      <c r="AJ3" s="18"/>
      <c r="AK3" s="18"/>
      <c r="AL3" s="18"/>
      <c r="AM3" s="18">
        <f>1095</f>
        <v>1095</v>
      </c>
      <c r="AN3" s="18"/>
      <c r="AO3" s="19">
        <f aca="true" t="shared" si="0" ref="AO3:AO34">SUM(C3:AN3)</f>
        <v>50465</v>
      </c>
      <c r="AP3" s="20"/>
      <c r="AQ3" s="21"/>
      <c r="AR3" s="21"/>
      <c r="AS3" s="21"/>
      <c r="AT3" s="21"/>
      <c r="AU3" s="21"/>
      <c r="AV3" s="21"/>
    </row>
    <row r="4" spans="1:48" ht="16.5" thickBot="1">
      <c r="A4" s="90"/>
      <c r="B4" s="43" t="s">
        <v>34</v>
      </c>
      <c r="C4" s="44"/>
      <c r="D4" s="44">
        <f>10850</f>
        <v>10850</v>
      </c>
      <c r="E4" s="44"/>
      <c r="F4" s="44">
        <f>4292</f>
        <v>4292</v>
      </c>
      <c r="G4" s="44"/>
      <c r="H4" s="44"/>
      <c r="I4" s="44">
        <f>960</f>
        <v>960</v>
      </c>
      <c r="J4" s="44"/>
      <c r="K4" s="44">
        <f>2441</f>
        <v>2441</v>
      </c>
      <c r="L4" s="44">
        <f>5689+144</f>
        <v>5833</v>
      </c>
      <c r="M4" s="44"/>
      <c r="N4" s="44">
        <f>3138</f>
        <v>3138</v>
      </c>
      <c r="O4" s="44">
        <f>6135+4729+2093</f>
        <v>12957</v>
      </c>
      <c r="P4" s="44"/>
      <c r="Q4" s="44">
        <f>1060</f>
        <v>1060</v>
      </c>
      <c r="R4" s="44">
        <f>1016</f>
        <v>1016</v>
      </c>
      <c r="S4" s="44">
        <f>2160</f>
        <v>2160</v>
      </c>
      <c r="T4" s="22">
        <f>3168</f>
        <v>3168</v>
      </c>
      <c r="U4" s="22"/>
      <c r="V4" s="22">
        <f>4800+2154+2807+885+2505</f>
        <v>13151</v>
      </c>
      <c r="W4" s="22"/>
      <c r="X4" s="22">
        <f>2100+1720+410</f>
        <v>4230</v>
      </c>
      <c r="Y4" s="22"/>
      <c r="Z4" s="22">
        <f>840</f>
        <v>840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>
        <f>937.5+2662</f>
        <v>3599.5</v>
      </c>
      <c r="AN4" s="22"/>
      <c r="AO4" s="19">
        <f t="shared" si="0"/>
        <v>69695.5</v>
      </c>
      <c r="AP4" s="20"/>
      <c r="AQ4" s="21"/>
      <c r="AR4" s="21"/>
      <c r="AS4" s="21"/>
      <c r="AT4" s="21"/>
      <c r="AU4" s="21"/>
      <c r="AV4" s="21"/>
    </row>
    <row r="5" spans="1:48" ht="16.5" thickBot="1">
      <c r="A5" s="90"/>
      <c r="B5" s="43" t="s">
        <v>36</v>
      </c>
      <c r="C5" s="44">
        <f>885</f>
        <v>885</v>
      </c>
      <c r="D5" s="44">
        <f>2010</f>
        <v>2010</v>
      </c>
      <c r="E5" s="44">
        <f>690</f>
        <v>690</v>
      </c>
      <c r="F5" s="44">
        <f>2165</f>
        <v>2165</v>
      </c>
      <c r="G5" s="44">
        <f>990</f>
        <v>990</v>
      </c>
      <c r="H5" s="44">
        <f>1380</f>
        <v>1380</v>
      </c>
      <c r="I5" s="44">
        <f>1085</f>
        <v>1085</v>
      </c>
      <c r="J5" s="44">
        <f>1705</f>
        <v>1705</v>
      </c>
      <c r="K5" s="44">
        <f>1460</f>
        <v>1460</v>
      </c>
      <c r="L5" s="44">
        <f>1085</f>
        <v>1085</v>
      </c>
      <c r="M5" s="44">
        <f>1580</f>
        <v>1580</v>
      </c>
      <c r="N5" s="44">
        <f>990</f>
        <v>990</v>
      </c>
      <c r="O5" s="44">
        <f>1180</f>
        <v>1180</v>
      </c>
      <c r="P5" s="44">
        <f>1085</f>
        <v>1085</v>
      </c>
      <c r="Q5" s="44">
        <f>2105</f>
        <v>2105</v>
      </c>
      <c r="R5" s="44">
        <f>1085</f>
        <v>1085</v>
      </c>
      <c r="S5" s="44">
        <f>990</f>
        <v>990</v>
      </c>
      <c r="T5" s="22">
        <f>2010</f>
        <v>2010</v>
      </c>
      <c r="U5" s="22">
        <f>1085</f>
        <v>1085</v>
      </c>
      <c r="V5" s="22">
        <f>990</f>
        <v>990</v>
      </c>
      <c r="W5" s="22">
        <f>690</f>
        <v>690</v>
      </c>
      <c r="X5" s="22">
        <f>790</f>
        <v>790</v>
      </c>
      <c r="Y5" s="22">
        <f>590</f>
        <v>590</v>
      </c>
      <c r="Z5" s="22">
        <f>1110</f>
        <v>1110</v>
      </c>
      <c r="AA5" s="22">
        <f>395</f>
        <v>395</v>
      </c>
      <c r="AB5" s="22">
        <f>1000</f>
        <v>1000</v>
      </c>
      <c r="AC5" s="22">
        <f>210+1715</f>
        <v>1925</v>
      </c>
      <c r="AD5" s="22">
        <f>395</f>
        <v>395</v>
      </c>
      <c r="AE5" s="22"/>
      <c r="AF5" s="22"/>
      <c r="AG5" s="22"/>
      <c r="AH5" s="22"/>
      <c r="AI5" s="22"/>
      <c r="AJ5" s="22"/>
      <c r="AK5" s="22"/>
      <c r="AL5" s="22"/>
      <c r="AM5" s="22">
        <f>250</f>
        <v>250</v>
      </c>
      <c r="AN5" s="22">
        <f>250</f>
        <v>250</v>
      </c>
      <c r="AO5" s="19">
        <f t="shared" si="0"/>
        <v>33950</v>
      </c>
      <c r="AP5" s="20"/>
      <c r="AQ5" s="21"/>
      <c r="AR5" s="21"/>
      <c r="AS5" s="21"/>
      <c r="AT5" s="21"/>
      <c r="AU5" s="21"/>
      <c r="AV5" s="21"/>
    </row>
    <row r="6" spans="1:48" ht="16.5" thickBot="1">
      <c r="A6" s="90"/>
      <c r="B6" s="43" t="s">
        <v>126</v>
      </c>
      <c r="C6" s="44">
        <f>560</f>
        <v>560</v>
      </c>
      <c r="D6" s="44">
        <f>840+420</f>
        <v>1260</v>
      </c>
      <c r="E6" s="44">
        <f>280</f>
        <v>280</v>
      </c>
      <c r="F6" s="44">
        <f>840+420</f>
        <v>1260</v>
      </c>
      <c r="G6" s="44">
        <f>320</f>
        <v>320</v>
      </c>
      <c r="H6" s="44">
        <f>840</f>
        <v>840</v>
      </c>
      <c r="I6" s="44">
        <f>560</f>
        <v>560</v>
      </c>
      <c r="J6" s="44">
        <f>840</f>
        <v>840</v>
      </c>
      <c r="K6" s="44">
        <f>840</f>
        <v>840</v>
      </c>
      <c r="L6" s="44">
        <f>560+600</f>
        <v>1160</v>
      </c>
      <c r="M6" s="44">
        <f>560+420</f>
        <v>980</v>
      </c>
      <c r="N6" s="44">
        <f>560</f>
        <v>560</v>
      </c>
      <c r="O6" s="44">
        <f>560</f>
        <v>560</v>
      </c>
      <c r="P6" s="44">
        <f>560</f>
        <v>560</v>
      </c>
      <c r="Q6" s="44">
        <f>560</f>
        <v>560</v>
      </c>
      <c r="R6" s="44">
        <f>560</f>
        <v>560</v>
      </c>
      <c r="S6" s="44">
        <f>560</f>
        <v>560</v>
      </c>
      <c r="T6" s="22">
        <f>840+420</f>
        <v>1260</v>
      </c>
      <c r="U6" s="22">
        <f>560</f>
        <v>560</v>
      </c>
      <c r="V6" s="22">
        <v>560</v>
      </c>
      <c r="W6" s="22">
        <f>280</f>
        <v>280</v>
      </c>
      <c r="X6" s="22">
        <f>280+210</f>
        <v>490</v>
      </c>
      <c r="Y6" s="22">
        <f>280</f>
        <v>280</v>
      </c>
      <c r="Z6" s="22">
        <f>560</f>
        <v>560</v>
      </c>
      <c r="AA6" s="22">
        <f>70</f>
        <v>70</v>
      </c>
      <c r="AB6" s="22">
        <f>280+210</f>
        <v>490</v>
      </c>
      <c r="AC6" s="22">
        <f>560+210</f>
        <v>770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19">
        <f t="shared" si="0"/>
        <v>17580</v>
      </c>
      <c r="AP6" s="20"/>
      <c r="AQ6" s="21"/>
      <c r="AR6" s="21"/>
      <c r="AS6" s="21"/>
      <c r="AT6" s="21"/>
      <c r="AU6" s="21"/>
      <c r="AV6" s="21"/>
    </row>
    <row r="7" spans="1:48" ht="16.5" thickBot="1">
      <c r="A7" s="90"/>
      <c r="B7" s="43" t="s">
        <v>143</v>
      </c>
      <c r="C7" s="44"/>
      <c r="D7" s="44"/>
      <c r="E7" s="44"/>
      <c r="F7" s="44">
        <f>6412</f>
        <v>6412</v>
      </c>
      <c r="G7" s="44"/>
      <c r="H7" s="44"/>
      <c r="I7" s="44">
        <f>975</f>
        <v>975</v>
      </c>
      <c r="J7" s="44">
        <f>2350+1000</f>
        <v>3350</v>
      </c>
      <c r="K7" s="44"/>
      <c r="L7" s="44">
        <f>750</f>
        <v>750</v>
      </c>
      <c r="M7" s="44"/>
      <c r="N7" s="44"/>
      <c r="O7" s="44">
        <f>5000</f>
        <v>5000</v>
      </c>
      <c r="P7" s="44"/>
      <c r="Q7" s="44"/>
      <c r="R7" s="44"/>
      <c r="S7" s="44">
        <f>7070+2000+1650</f>
        <v>10720</v>
      </c>
      <c r="T7" s="22">
        <f>7070+4320+8000</f>
        <v>19390</v>
      </c>
      <c r="U7" s="22"/>
      <c r="V7" s="22">
        <f>500</f>
        <v>500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19">
        <f t="shared" si="0"/>
        <v>47097</v>
      </c>
      <c r="AP7" s="20"/>
      <c r="AQ7" s="21"/>
      <c r="AR7" s="21"/>
      <c r="AS7" s="21"/>
      <c r="AT7" s="21"/>
      <c r="AU7" s="21"/>
      <c r="AV7" s="21"/>
    </row>
    <row r="8" spans="1:48" ht="16.5" thickBot="1">
      <c r="A8" s="90"/>
      <c r="B8" s="45" t="s">
        <v>150</v>
      </c>
      <c r="C8" s="46"/>
      <c r="D8" s="46"/>
      <c r="E8" s="46"/>
      <c r="F8" s="46">
        <f>19582</f>
        <v>19582</v>
      </c>
      <c r="G8" s="46">
        <f>16440</f>
        <v>16440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23"/>
      <c r="U8" s="23"/>
      <c r="V8" s="23">
        <f>9791</f>
        <v>9791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9">
        <f t="shared" si="0"/>
        <v>45813</v>
      </c>
      <c r="AP8" s="20"/>
      <c r="AQ8" s="21"/>
      <c r="AR8" s="21"/>
      <c r="AS8" s="21"/>
      <c r="AT8" s="21"/>
      <c r="AU8" s="21"/>
      <c r="AV8" s="21"/>
    </row>
    <row r="9" spans="1:48" ht="16.5" thickBot="1">
      <c r="A9" s="90"/>
      <c r="B9" s="45" t="s">
        <v>54</v>
      </c>
      <c r="C9" s="46"/>
      <c r="D9" s="46"/>
      <c r="E9" s="46"/>
      <c r="F9" s="46">
        <f>20493</f>
        <v>20493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9">
        <f t="shared" si="0"/>
        <v>20493</v>
      </c>
      <c r="AP9" s="20"/>
      <c r="AQ9" s="21"/>
      <c r="AR9" s="21"/>
      <c r="AS9" s="21"/>
      <c r="AT9" s="21"/>
      <c r="AU9" s="21"/>
      <c r="AV9" s="21"/>
    </row>
    <row r="10" spans="1:48" ht="16.5" thickBot="1">
      <c r="A10" s="90"/>
      <c r="B10" s="45" t="s">
        <v>41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19">
        <f t="shared" si="0"/>
        <v>0</v>
      </c>
      <c r="AP10" s="20"/>
      <c r="AQ10" s="21"/>
      <c r="AR10" s="21"/>
      <c r="AS10" s="21"/>
      <c r="AT10" s="21"/>
      <c r="AU10" s="21"/>
      <c r="AV10" s="21"/>
    </row>
    <row r="11" spans="1:48" ht="16.5" thickBot="1">
      <c r="A11" s="90"/>
      <c r="B11" s="45" t="s">
        <v>61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19">
        <f t="shared" si="0"/>
        <v>0</v>
      </c>
      <c r="AP11" s="20"/>
      <c r="AQ11" s="21"/>
      <c r="AR11" s="21"/>
      <c r="AS11" s="21"/>
      <c r="AT11" s="21"/>
      <c r="AU11" s="21"/>
      <c r="AV11" s="21"/>
    </row>
    <row r="12" spans="1:48" ht="16.5" thickBot="1">
      <c r="A12" s="90"/>
      <c r="B12" s="45" t="s">
        <v>42</v>
      </c>
      <c r="C12" s="46">
        <f>4475</f>
        <v>4475</v>
      </c>
      <c r="D12" s="46">
        <f>8211</f>
        <v>8211</v>
      </c>
      <c r="E12" s="46">
        <f>4470</f>
        <v>4470</v>
      </c>
      <c r="F12" s="46">
        <f>11435</f>
        <v>11435</v>
      </c>
      <c r="G12" s="46">
        <f>7957</f>
        <v>7957</v>
      </c>
      <c r="H12" s="46">
        <f>8383</f>
        <v>8383</v>
      </c>
      <c r="I12" s="46">
        <f>6471</f>
        <v>6471</v>
      </c>
      <c r="J12" s="46">
        <f>5877</f>
        <v>5877</v>
      </c>
      <c r="K12" s="46">
        <f>4476</f>
        <v>4476</v>
      </c>
      <c r="L12" s="46">
        <f>7121</f>
        <v>7121</v>
      </c>
      <c r="M12" s="46">
        <f>610</f>
        <v>610</v>
      </c>
      <c r="N12" s="46">
        <f>6858</f>
        <v>6858</v>
      </c>
      <c r="O12" s="46">
        <f>5148+816</f>
        <v>5964</v>
      </c>
      <c r="P12" s="46">
        <f>5064</f>
        <v>5064</v>
      </c>
      <c r="Q12" s="46">
        <f>6442</f>
        <v>6442</v>
      </c>
      <c r="R12" s="46">
        <f>5489</f>
        <v>5489</v>
      </c>
      <c r="S12" s="46">
        <f>6568</f>
        <v>6568</v>
      </c>
      <c r="T12" s="23">
        <f>6994</f>
        <v>6994</v>
      </c>
      <c r="U12" s="23">
        <f>6434</f>
        <v>6434</v>
      </c>
      <c r="V12" s="23">
        <f>6165+3530+1015</f>
        <v>10710</v>
      </c>
      <c r="W12" s="23">
        <f>3217</f>
        <v>3217</v>
      </c>
      <c r="X12" s="23">
        <f>3772</f>
        <v>3772</v>
      </c>
      <c r="Y12" s="23">
        <f>2687</f>
        <v>2687</v>
      </c>
      <c r="Z12" s="23">
        <f>2951</f>
        <v>2951</v>
      </c>
      <c r="AA12" s="23">
        <f>1981</f>
        <v>1981</v>
      </c>
      <c r="AB12" s="23">
        <f>2028</f>
        <v>2028</v>
      </c>
      <c r="AC12" s="23">
        <f>1990</f>
        <v>1990</v>
      </c>
      <c r="AD12" s="23">
        <f>631</f>
        <v>631</v>
      </c>
      <c r="AE12" s="23">
        <f>5063</f>
        <v>5063</v>
      </c>
      <c r="AF12" s="23">
        <f>974</f>
        <v>974</v>
      </c>
      <c r="AG12" s="23"/>
      <c r="AH12" s="23">
        <f>3131</f>
        <v>3131</v>
      </c>
      <c r="AI12" s="23">
        <f>1464</f>
        <v>1464</v>
      </c>
      <c r="AJ12" s="23">
        <f>936</f>
        <v>936</v>
      </c>
      <c r="AK12" s="23">
        <f>3364</f>
        <v>3364</v>
      </c>
      <c r="AL12" s="23">
        <f>1988</f>
        <v>1988</v>
      </c>
      <c r="AM12" s="23">
        <f>2010</f>
        <v>2010</v>
      </c>
      <c r="AN12" s="23">
        <f>1985</f>
        <v>1985</v>
      </c>
      <c r="AO12" s="19">
        <f t="shared" si="0"/>
        <v>170181</v>
      </c>
      <c r="AP12" s="20"/>
      <c r="AQ12" s="21"/>
      <c r="AR12" s="21"/>
      <c r="AS12" s="21"/>
      <c r="AT12" s="21"/>
      <c r="AU12" s="21"/>
      <c r="AV12" s="21"/>
    </row>
    <row r="13" spans="1:48" ht="30.75" thickBot="1">
      <c r="A13" s="90"/>
      <c r="B13" s="47" t="s">
        <v>75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19">
        <f t="shared" si="0"/>
        <v>0</v>
      </c>
      <c r="AP13" s="20"/>
      <c r="AQ13" s="21"/>
      <c r="AR13" s="21"/>
      <c r="AS13" s="21"/>
      <c r="AT13" s="21"/>
      <c r="AU13" s="21"/>
      <c r="AV13" s="21"/>
    </row>
    <row r="14" spans="1:48" ht="16.5" thickBot="1">
      <c r="A14" s="90"/>
      <c r="B14" s="45" t="s">
        <v>60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9">
        <f t="shared" si="0"/>
        <v>0</v>
      </c>
      <c r="AP14" s="20"/>
      <c r="AQ14" s="21"/>
      <c r="AR14" s="21"/>
      <c r="AS14" s="21"/>
      <c r="AT14" s="21"/>
      <c r="AU14" s="21"/>
      <c r="AV14" s="21"/>
    </row>
    <row r="15" spans="1:48" ht="16.5" thickBot="1">
      <c r="A15" s="90"/>
      <c r="B15" s="45" t="s">
        <v>45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23"/>
      <c r="U15" s="23"/>
      <c r="V15" s="23"/>
      <c r="W15" s="23"/>
      <c r="X15" s="23"/>
      <c r="Y15" s="23"/>
      <c r="Z15" s="23">
        <f>1350</f>
        <v>1350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9">
        <f t="shared" si="0"/>
        <v>1350</v>
      </c>
      <c r="AP15" s="20"/>
      <c r="AQ15" s="21"/>
      <c r="AR15" s="21"/>
      <c r="AS15" s="21"/>
      <c r="AT15" s="21"/>
      <c r="AU15" s="21"/>
      <c r="AV15" s="21"/>
    </row>
    <row r="16" spans="1:48" ht="16.5" thickBot="1">
      <c r="A16" s="90"/>
      <c r="B16" s="45" t="s">
        <v>72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9">
        <f t="shared" si="0"/>
        <v>0</v>
      </c>
      <c r="AP16" s="20"/>
      <c r="AQ16" s="21"/>
      <c r="AR16" s="21"/>
      <c r="AS16" s="21"/>
      <c r="AT16" s="21"/>
      <c r="AU16" s="21"/>
      <c r="AV16" s="21"/>
    </row>
    <row r="17" spans="1:48" ht="16.5" thickBot="1">
      <c r="A17" s="90"/>
      <c r="B17" s="45" t="s">
        <v>78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19">
        <f t="shared" si="0"/>
        <v>0</v>
      </c>
      <c r="AP17" s="20"/>
      <c r="AQ17" s="21"/>
      <c r="AR17" s="21"/>
      <c r="AS17" s="21"/>
      <c r="AT17" s="21"/>
      <c r="AU17" s="21"/>
      <c r="AV17" s="21"/>
    </row>
    <row r="18" spans="1:48" ht="16.5" thickBot="1">
      <c r="A18" s="90"/>
      <c r="B18" s="45" t="s">
        <v>82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19">
        <f t="shared" si="0"/>
        <v>0</v>
      </c>
      <c r="AP18" s="20"/>
      <c r="AQ18" s="21"/>
      <c r="AR18" s="21"/>
      <c r="AS18" s="21"/>
      <c r="AT18" s="21"/>
      <c r="AU18" s="21"/>
      <c r="AV18" s="21"/>
    </row>
    <row r="19" spans="1:48" ht="16.5" thickBot="1">
      <c r="A19" s="91"/>
      <c r="B19" s="45" t="s">
        <v>87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9">
        <f t="shared" si="0"/>
        <v>0</v>
      </c>
      <c r="AP19" s="20"/>
      <c r="AQ19" s="21"/>
      <c r="AR19" s="21"/>
      <c r="AS19" s="21"/>
      <c r="AT19" s="21"/>
      <c r="AU19" s="21"/>
      <c r="AV19" s="21"/>
    </row>
    <row r="20" spans="1:48" ht="16.5" thickBot="1">
      <c r="A20" s="92"/>
      <c r="B20" s="43" t="s">
        <v>77</v>
      </c>
      <c r="C20" s="44"/>
      <c r="D20" s="44"/>
      <c r="E20" s="44">
        <f>77480+196080+199704+894</f>
        <v>474158</v>
      </c>
      <c r="F20" s="44">
        <f>5175+10195</f>
        <v>15370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2">
        <f>10350+11680</f>
        <v>22030</v>
      </c>
      <c r="U20" s="22"/>
      <c r="V20" s="22">
        <f>2035+10350</f>
        <v>12385</v>
      </c>
      <c r="W20" s="22"/>
      <c r="X20" s="22"/>
      <c r="Y20" s="22"/>
      <c r="Z20" s="22">
        <f>2610+7143</f>
        <v>9753</v>
      </c>
      <c r="AA20" s="22"/>
      <c r="AB20" s="22"/>
      <c r="AC20" s="22">
        <f>11970</f>
        <v>11970</v>
      </c>
      <c r="AD20" s="22"/>
      <c r="AE20" s="22"/>
      <c r="AF20" s="22"/>
      <c r="AG20" s="22">
        <f>23093+12755+4670+18000+2470+37530</f>
        <v>98518</v>
      </c>
      <c r="AH20" s="22"/>
      <c r="AI20" s="22"/>
      <c r="AJ20" s="22"/>
      <c r="AK20" s="22"/>
      <c r="AL20" s="22">
        <f>4925</f>
        <v>4925</v>
      </c>
      <c r="AM20" s="22"/>
      <c r="AN20" s="22"/>
      <c r="AO20" s="19">
        <f t="shared" si="0"/>
        <v>649109</v>
      </c>
      <c r="AP20" s="20"/>
      <c r="AQ20" s="21"/>
      <c r="AR20" s="21"/>
      <c r="AS20" s="21"/>
      <c r="AT20" s="21"/>
      <c r="AU20" s="21"/>
      <c r="AV20" s="21"/>
    </row>
    <row r="21" spans="1:48" ht="16.5" thickBot="1">
      <c r="A21" s="93"/>
      <c r="B21" s="43" t="s">
        <v>136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f>56700</f>
        <v>56700</v>
      </c>
      <c r="AH21" s="22"/>
      <c r="AI21" s="22"/>
      <c r="AJ21" s="22"/>
      <c r="AK21" s="22"/>
      <c r="AL21" s="22"/>
      <c r="AM21" s="22"/>
      <c r="AN21" s="22"/>
      <c r="AO21" s="19">
        <f t="shared" si="0"/>
        <v>56700</v>
      </c>
      <c r="AP21" s="20"/>
      <c r="AQ21" s="21"/>
      <c r="AR21" s="21"/>
      <c r="AS21" s="21"/>
      <c r="AT21" s="21"/>
      <c r="AU21" s="21"/>
      <c r="AV21" s="21"/>
    </row>
    <row r="22" spans="1:48" ht="16.5" thickBot="1">
      <c r="A22" s="94"/>
      <c r="B22" s="43" t="s">
        <v>135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f>14240</f>
        <v>14240</v>
      </c>
      <c r="AH22" s="22"/>
      <c r="AI22" s="22"/>
      <c r="AJ22" s="22"/>
      <c r="AK22" s="22"/>
      <c r="AL22" s="22"/>
      <c r="AM22" s="22"/>
      <c r="AN22" s="22"/>
      <c r="AO22" s="19">
        <f t="shared" si="0"/>
        <v>14240</v>
      </c>
      <c r="AP22" s="20"/>
      <c r="AQ22" s="21"/>
      <c r="AR22" s="21"/>
      <c r="AS22" s="21"/>
      <c r="AT22" s="21"/>
      <c r="AU22" s="21"/>
      <c r="AV22" s="21"/>
    </row>
    <row r="23" spans="1:48" ht="16.5" thickBot="1">
      <c r="A23" s="94"/>
      <c r="B23" s="43" t="s">
        <v>119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19">
        <f t="shared" si="0"/>
        <v>0</v>
      </c>
      <c r="AP23" s="20"/>
      <c r="AQ23" s="21"/>
      <c r="AR23" s="21"/>
      <c r="AS23" s="21"/>
      <c r="AT23" s="21"/>
      <c r="AU23" s="21"/>
      <c r="AV23" s="21"/>
    </row>
    <row r="24" spans="1:48" ht="16.5" thickBot="1">
      <c r="A24" s="94"/>
      <c r="B24" s="43" t="s">
        <v>144</v>
      </c>
      <c r="C24" s="44"/>
      <c r="D24" s="44"/>
      <c r="E24" s="44">
        <f>23600</f>
        <v>23600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>
        <f>8640</f>
        <v>8640</v>
      </c>
      <c r="AH24" s="22"/>
      <c r="AI24" s="22"/>
      <c r="AJ24" s="22"/>
      <c r="AK24" s="22"/>
      <c r="AL24" s="22"/>
      <c r="AM24" s="22"/>
      <c r="AN24" s="22"/>
      <c r="AO24" s="19">
        <f t="shared" si="0"/>
        <v>32240</v>
      </c>
      <c r="AP24" s="20"/>
      <c r="AQ24" s="21"/>
      <c r="AR24" s="21"/>
      <c r="AS24" s="21"/>
      <c r="AT24" s="21"/>
      <c r="AU24" s="21"/>
      <c r="AV24" s="21"/>
    </row>
    <row r="25" spans="1:48" ht="16.5" thickBot="1">
      <c r="A25" s="94"/>
      <c r="B25" s="43" t="s">
        <v>118</v>
      </c>
      <c r="C25" s="44"/>
      <c r="D25" s="44"/>
      <c r="E25" s="44">
        <f>14160</f>
        <v>14160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f>5880</f>
        <v>5880</v>
      </c>
      <c r="AH25" s="22"/>
      <c r="AI25" s="22"/>
      <c r="AJ25" s="22"/>
      <c r="AK25" s="22"/>
      <c r="AL25" s="22"/>
      <c r="AM25" s="22"/>
      <c r="AN25" s="22"/>
      <c r="AO25" s="19">
        <f t="shared" si="0"/>
        <v>20040</v>
      </c>
      <c r="AP25" s="20"/>
      <c r="AQ25" s="21"/>
      <c r="AR25" s="21"/>
      <c r="AS25" s="21"/>
      <c r="AT25" s="21"/>
      <c r="AU25" s="21"/>
      <c r="AV25" s="21"/>
    </row>
    <row r="26" spans="1:48" ht="16.5" thickBot="1">
      <c r="A26" s="94"/>
      <c r="B26" s="43" t="s">
        <v>116</v>
      </c>
      <c r="C26" s="44"/>
      <c r="D26" s="44"/>
      <c r="E26" s="44">
        <f>4500</f>
        <v>4500</v>
      </c>
      <c r="F26" s="44"/>
      <c r="G26" s="44"/>
      <c r="H26" s="44"/>
      <c r="I26" s="44"/>
      <c r="J26" s="44"/>
      <c r="K26" s="44"/>
      <c r="L26" s="44"/>
      <c r="M26" s="44">
        <f>3860</f>
        <v>3860</v>
      </c>
      <c r="N26" s="44"/>
      <c r="O26" s="44"/>
      <c r="P26" s="44"/>
      <c r="Q26" s="44">
        <f>3860</f>
        <v>3860</v>
      </c>
      <c r="R26" s="44"/>
      <c r="S26" s="44"/>
      <c r="T26" s="22"/>
      <c r="U26" s="22">
        <f>3860</f>
        <v>3860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f>3480</f>
        <v>3480</v>
      </c>
      <c r="AH26" s="22"/>
      <c r="AI26" s="22"/>
      <c r="AJ26" s="22"/>
      <c r="AK26" s="22"/>
      <c r="AL26" s="22"/>
      <c r="AM26" s="22"/>
      <c r="AN26" s="22"/>
      <c r="AO26" s="19">
        <f t="shared" si="0"/>
        <v>19560</v>
      </c>
      <c r="AP26" s="20"/>
      <c r="AQ26" s="21"/>
      <c r="AR26" s="21"/>
      <c r="AS26" s="21"/>
      <c r="AT26" s="21"/>
      <c r="AU26" s="21"/>
      <c r="AV26" s="21"/>
    </row>
    <row r="27" spans="1:48" ht="16.5" thickBot="1">
      <c r="A27" s="94"/>
      <c r="B27" s="43" t="s">
        <v>114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9">
        <f t="shared" si="0"/>
        <v>0</v>
      </c>
      <c r="AP27" s="20"/>
      <c r="AQ27" s="21"/>
      <c r="AR27" s="21"/>
      <c r="AS27" s="21"/>
      <c r="AT27" s="21"/>
      <c r="AU27" s="21"/>
      <c r="AV27" s="21"/>
    </row>
    <row r="28" spans="1:48" ht="16.5" thickBot="1">
      <c r="A28" s="94"/>
      <c r="B28" s="43" t="s">
        <v>71</v>
      </c>
      <c r="C28" s="44"/>
      <c r="D28" s="44"/>
      <c r="E28" s="44"/>
      <c r="F28" s="44"/>
      <c r="G28" s="44"/>
      <c r="H28" s="44"/>
      <c r="I28" s="44"/>
      <c r="J28" s="44">
        <f>8750</f>
        <v>8750</v>
      </c>
      <c r="K28" s="44"/>
      <c r="L28" s="44"/>
      <c r="M28" s="44"/>
      <c r="N28" s="44"/>
      <c r="O28" s="44"/>
      <c r="P28" s="44"/>
      <c r="Q28" s="44"/>
      <c r="R28" s="44"/>
      <c r="S28" s="44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f>9720</f>
        <v>9720</v>
      </c>
      <c r="AH28" s="22"/>
      <c r="AI28" s="22"/>
      <c r="AJ28" s="22"/>
      <c r="AK28" s="22"/>
      <c r="AL28" s="22">
        <f>9000</f>
        <v>9000</v>
      </c>
      <c r="AM28" s="22"/>
      <c r="AN28" s="22">
        <f>8900</f>
        <v>8900</v>
      </c>
      <c r="AO28" s="19">
        <f t="shared" si="0"/>
        <v>36370</v>
      </c>
      <c r="AP28" s="20"/>
      <c r="AQ28" s="21"/>
      <c r="AR28" s="21"/>
      <c r="AS28" s="21"/>
      <c r="AT28" s="21"/>
      <c r="AU28" s="21"/>
      <c r="AV28" s="21"/>
    </row>
    <row r="29" spans="1:48" ht="16.5" thickBot="1">
      <c r="A29" s="94"/>
      <c r="B29" s="43" t="s">
        <v>112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19">
        <f t="shared" si="0"/>
        <v>0</v>
      </c>
      <c r="AP29" s="20"/>
      <c r="AQ29" s="21"/>
      <c r="AR29" s="21"/>
      <c r="AS29" s="21"/>
      <c r="AT29" s="21"/>
      <c r="AU29" s="21"/>
      <c r="AV29" s="21"/>
    </row>
    <row r="30" spans="1:48" ht="16.5" thickBot="1">
      <c r="A30" s="94"/>
      <c r="B30" s="48" t="s">
        <v>68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19">
        <f t="shared" si="0"/>
        <v>0</v>
      </c>
      <c r="AP30" s="20"/>
      <c r="AQ30" s="21"/>
      <c r="AR30" s="21"/>
      <c r="AS30" s="21"/>
      <c r="AT30" s="21"/>
      <c r="AU30" s="21"/>
      <c r="AV30" s="21"/>
    </row>
    <row r="31" spans="1:48" ht="16.5" thickBot="1">
      <c r="A31" s="94"/>
      <c r="B31" s="43" t="s">
        <v>38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19">
        <f t="shared" si="0"/>
        <v>0</v>
      </c>
      <c r="AP31" s="20"/>
      <c r="AQ31" s="21"/>
      <c r="AR31" s="21"/>
      <c r="AS31" s="21"/>
      <c r="AT31" s="21"/>
      <c r="AU31" s="21"/>
      <c r="AV31" s="21"/>
    </row>
    <row r="32" spans="1:48" ht="16.5" thickBot="1">
      <c r="A32" s="94"/>
      <c r="B32" s="43" t="s">
        <v>65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19">
        <f t="shared" si="0"/>
        <v>0</v>
      </c>
      <c r="AP32" s="20"/>
      <c r="AQ32" s="21"/>
      <c r="AR32" s="21"/>
      <c r="AS32" s="21"/>
      <c r="AT32" s="21"/>
      <c r="AU32" s="21"/>
      <c r="AV32" s="21"/>
    </row>
    <row r="33" spans="1:48" ht="16.5" thickBot="1">
      <c r="A33" s="94"/>
      <c r="B33" s="43" t="s">
        <v>80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9">
        <f t="shared" si="0"/>
        <v>0</v>
      </c>
      <c r="AP33" s="20"/>
      <c r="AQ33" s="21"/>
      <c r="AR33" s="21"/>
      <c r="AS33" s="21"/>
      <c r="AT33" s="21"/>
      <c r="AU33" s="21"/>
      <c r="AV33" s="21"/>
    </row>
    <row r="34" spans="1:48" ht="16.5" thickBot="1">
      <c r="A34" s="94"/>
      <c r="B34" s="43" t="s">
        <v>66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2">
        <f>15000</f>
        <v>15000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9870</v>
      </c>
      <c r="AH34" s="22"/>
      <c r="AI34" s="22"/>
      <c r="AJ34" s="22"/>
      <c r="AK34" s="22"/>
      <c r="AL34" s="22"/>
      <c r="AM34" s="22"/>
      <c r="AN34" s="22"/>
      <c r="AO34" s="19">
        <f t="shared" si="0"/>
        <v>24870</v>
      </c>
      <c r="AP34" s="20"/>
      <c r="AQ34" s="21"/>
      <c r="AR34" s="21"/>
      <c r="AS34" s="21"/>
      <c r="AT34" s="21"/>
      <c r="AU34" s="21"/>
      <c r="AV34" s="21"/>
    </row>
    <row r="35" spans="1:48" ht="16.5" thickBot="1">
      <c r="A35" s="94"/>
      <c r="B35" s="50" t="s">
        <v>115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19">
        <f aca="true" t="shared" si="1" ref="AO35:AO66">SUM(C35:AN35)</f>
        <v>0</v>
      </c>
      <c r="AP35" s="20"/>
      <c r="AQ35" s="21"/>
      <c r="AR35" s="21"/>
      <c r="AS35" s="21"/>
      <c r="AT35" s="21"/>
      <c r="AU35" s="21"/>
      <c r="AV35" s="21"/>
    </row>
    <row r="36" spans="1:48" ht="16.5" thickBot="1">
      <c r="A36" s="94"/>
      <c r="B36" s="45" t="s">
        <v>67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19">
        <f t="shared" si="1"/>
        <v>0</v>
      </c>
      <c r="AP36" s="20"/>
      <c r="AQ36" s="21"/>
      <c r="AR36" s="21"/>
      <c r="AS36" s="21"/>
      <c r="AT36" s="21"/>
      <c r="AU36" s="21"/>
      <c r="AV36" s="21"/>
    </row>
    <row r="37" spans="1:48" ht="16.5" thickBot="1">
      <c r="A37" s="94"/>
      <c r="B37" s="45" t="s">
        <v>130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19">
        <f t="shared" si="1"/>
        <v>0</v>
      </c>
      <c r="AP37" s="20"/>
      <c r="AQ37" s="21"/>
      <c r="AR37" s="21"/>
      <c r="AS37" s="21"/>
      <c r="AT37" s="21"/>
      <c r="AU37" s="21"/>
      <c r="AV37" s="21"/>
    </row>
    <row r="38" spans="1:48" ht="16.5" thickBot="1">
      <c r="A38" s="94"/>
      <c r="B38" s="45" t="s">
        <v>131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19">
        <f t="shared" si="1"/>
        <v>0</v>
      </c>
      <c r="AP38" s="20"/>
      <c r="AQ38" s="21"/>
      <c r="AR38" s="21"/>
      <c r="AS38" s="21"/>
      <c r="AT38" s="21"/>
      <c r="AU38" s="21"/>
      <c r="AV38" s="21"/>
    </row>
    <row r="39" spans="1:48" ht="16.5" thickBot="1">
      <c r="A39" s="94"/>
      <c r="B39" s="45" t="s">
        <v>152</v>
      </c>
      <c r="C39" s="46"/>
      <c r="D39" s="46"/>
      <c r="E39" s="46"/>
      <c r="F39" s="46"/>
      <c r="G39" s="46"/>
      <c r="H39" s="46"/>
      <c r="I39" s="46"/>
      <c r="J39" s="46"/>
      <c r="K39" s="46"/>
      <c r="L39" s="46">
        <f>14987+14990+14900</f>
        <v>44877</v>
      </c>
      <c r="M39" s="46"/>
      <c r="N39" s="46"/>
      <c r="O39" s="46"/>
      <c r="P39" s="46"/>
      <c r="Q39" s="46"/>
      <c r="R39" s="46"/>
      <c r="S39" s="46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19">
        <f t="shared" si="1"/>
        <v>44877</v>
      </c>
      <c r="AP39" s="20"/>
      <c r="AQ39" s="21"/>
      <c r="AR39" s="21"/>
      <c r="AS39" s="21"/>
      <c r="AT39" s="21"/>
      <c r="AU39" s="21"/>
      <c r="AV39" s="21"/>
    </row>
    <row r="40" spans="1:48" ht="16.5" thickBot="1">
      <c r="A40" s="94"/>
      <c r="B40" s="45" t="s">
        <v>39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>
        <f>1102</f>
        <v>1102</v>
      </c>
      <c r="AH40" s="23"/>
      <c r="AI40" s="23"/>
      <c r="AJ40" s="23"/>
      <c r="AK40" s="23"/>
      <c r="AL40" s="23"/>
      <c r="AM40" s="23"/>
      <c r="AN40" s="23"/>
      <c r="AO40" s="19">
        <f t="shared" si="1"/>
        <v>1102</v>
      </c>
      <c r="AP40" s="20"/>
      <c r="AQ40" s="21"/>
      <c r="AR40" s="21"/>
      <c r="AS40" s="21"/>
      <c r="AT40" s="21"/>
      <c r="AU40" s="21"/>
      <c r="AV40" s="21"/>
    </row>
    <row r="41" spans="1:48" ht="16.5" thickBot="1">
      <c r="A41" s="94"/>
      <c r="B41" s="45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19">
        <f t="shared" si="1"/>
        <v>0</v>
      </c>
      <c r="AP41" s="20"/>
      <c r="AQ41" s="21"/>
      <c r="AR41" s="21"/>
      <c r="AS41" s="21"/>
      <c r="AT41" s="21"/>
      <c r="AU41" s="21"/>
      <c r="AV41" s="21"/>
    </row>
    <row r="42" spans="1:48" ht="16.5" thickBot="1">
      <c r="A42" s="94"/>
      <c r="B42" s="45" t="s">
        <v>40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19">
        <f t="shared" si="1"/>
        <v>0</v>
      </c>
      <c r="AP42" s="20"/>
      <c r="AQ42" s="21"/>
      <c r="AR42" s="21"/>
      <c r="AS42" s="21"/>
      <c r="AT42" s="21"/>
      <c r="AU42" s="21"/>
      <c r="AV42" s="21"/>
    </row>
    <row r="43" spans="1:48" ht="16.5" thickBot="1">
      <c r="A43" s="94"/>
      <c r="B43" s="45" t="s">
        <v>48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19">
        <f t="shared" si="1"/>
        <v>0</v>
      </c>
      <c r="AP43" s="20"/>
      <c r="AQ43" s="21"/>
      <c r="AR43" s="21"/>
      <c r="AS43" s="21"/>
      <c r="AT43" s="21"/>
      <c r="AU43" s="21"/>
      <c r="AV43" s="21"/>
    </row>
    <row r="44" spans="1:48" ht="16.5" thickBot="1">
      <c r="A44" s="94"/>
      <c r="B44" s="45" t="s">
        <v>69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19">
        <f t="shared" si="1"/>
        <v>0</v>
      </c>
      <c r="AP44" s="20"/>
      <c r="AQ44" s="21"/>
      <c r="AR44" s="21"/>
      <c r="AS44" s="21"/>
      <c r="AT44" s="21"/>
      <c r="AU44" s="21"/>
      <c r="AV44" s="21"/>
    </row>
    <row r="45" spans="1:48" ht="16.5" thickBot="1">
      <c r="A45" s="94"/>
      <c r="B45" s="45" t="s">
        <v>49</v>
      </c>
      <c r="C45" s="46"/>
      <c r="D45" s="46">
        <f>740.03+4350</f>
        <v>5090.03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19">
        <f t="shared" si="1"/>
        <v>5090.03</v>
      </c>
      <c r="AP45" s="20"/>
      <c r="AQ45" s="21"/>
      <c r="AR45" s="21"/>
      <c r="AS45" s="21"/>
      <c r="AT45" s="21"/>
      <c r="AU45" s="21"/>
      <c r="AV45" s="21"/>
    </row>
    <row r="46" spans="1:48" ht="16.5" thickBot="1">
      <c r="A46" s="94"/>
      <c r="B46" s="45" t="s">
        <v>43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f>7290</f>
        <v>7290</v>
      </c>
      <c r="AH46" s="23"/>
      <c r="AI46" s="23"/>
      <c r="AJ46" s="23"/>
      <c r="AK46" s="23"/>
      <c r="AL46" s="23"/>
      <c r="AM46" s="23"/>
      <c r="AN46" s="23"/>
      <c r="AO46" s="19">
        <f t="shared" si="1"/>
        <v>7290</v>
      </c>
      <c r="AP46" s="20"/>
      <c r="AQ46" s="21"/>
      <c r="AR46" s="21"/>
      <c r="AS46" s="21"/>
      <c r="AT46" s="21"/>
      <c r="AU46" s="21"/>
      <c r="AV46" s="21"/>
    </row>
    <row r="47" spans="1:48" ht="16.5" thickBot="1">
      <c r="A47" s="94"/>
      <c r="B47" s="45" t="s">
        <v>44</v>
      </c>
      <c r="C47" s="46"/>
      <c r="D47" s="46"/>
      <c r="E47" s="46">
        <f>3540</f>
        <v>3540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19">
        <f t="shared" si="1"/>
        <v>3540</v>
      </c>
      <c r="AP47" s="20"/>
      <c r="AQ47" s="21"/>
      <c r="AR47" s="21"/>
      <c r="AS47" s="21"/>
      <c r="AT47" s="21"/>
      <c r="AU47" s="21"/>
      <c r="AV47" s="21"/>
    </row>
    <row r="48" spans="1:48" ht="16.5" thickBot="1">
      <c r="A48" s="94"/>
      <c r="B48" s="45" t="s">
        <v>51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19">
        <f t="shared" si="1"/>
        <v>0</v>
      </c>
      <c r="AP48" s="20"/>
      <c r="AQ48" s="21"/>
      <c r="AR48" s="21"/>
      <c r="AS48" s="21"/>
      <c r="AT48" s="21"/>
      <c r="AU48" s="21"/>
      <c r="AV48" s="21"/>
    </row>
    <row r="49" spans="1:48" ht="16.5" thickBot="1">
      <c r="A49" s="94"/>
      <c r="B49" s="45" t="s">
        <v>70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19">
        <f t="shared" si="1"/>
        <v>0</v>
      </c>
      <c r="AP49" s="20"/>
      <c r="AQ49" s="21"/>
      <c r="AR49" s="21"/>
      <c r="AS49" s="21"/>
      <c r="AT49" s="21"/>
      <c r="AU49" s="21"/>
      <c r="AV49" s="21"/>
    </row>
    <row r="50" spans="1:48" ht="16.5" thickBot="1">
      <c r="A50" s="94"/>
      <c r="B50" s="45" t="s">
        <v>134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19">
        <f t="shared" si="1"/>
        <v>0</v>
      </c>
      <c r="AP50" s="20"/>
      <c r="AQ50" s="21"/>
      <c r="AR50" s="21"/>
      <c r="AS50" s="21"/>
      <c r="AT50" s="21"/>
      <c r="AU50" s="21"/>
      <c r="AV50" s="21"/>
    </row>
    <row r="51" spans="1:48" ht="16.5" thickBot="1">
      <c r="A51" s="94"/>
      <c r="B51" s="45" t="s">
        <v>73</v>
      </c>
      <c r="C51" s="46">
        <f>12100</f>
        <v>12100</v>
      </c>
      <c r="D51" s="46">
        <f>24200</f>
        <v>24200</v>
      </c>
      <c r="E51" s="46"/>
      <c r="F51" s="46">
        <f>11980</f>
        <v>11980</v>
      </c>
      <c r="G51" s="46">
        <f>23750</f>
        <v>23750</v>
      </c>
      <c r="H51" s="46">
        <f>23750+14800+6200+5760</f>
        <v>50510</v>
      </c>
      <c r="I51" s="46">
        <f>24200</f>
        <v>24200</v>
      </c>
      <c r="J51" s="46"/>
      <c r="K51" s="46">
        <f>23750</f>
        <v>23750</v>
      </c>
      <c r="L51" s="46">
        <f>23750</f>
        <v>23750</v>
      </c>
      <c r="M51" s="46">
        <f>12100</f>
        <v>12100</v>
      </c>
      <c r="N51" s="46">
        <f>24200</f>
        <v>24200</v>
      </c>
      <c r="O51" s="46"/>
      <c r="P51" s="46">
        <f>12100+11850</f>
        <v>23950</v>
      </c>
      <c r="Q51" s="46">
        <f>12100</f>
        <v>12100</v>
      </c>
      <c r="R51" s="46">
        <f>12100</f>
        <v>12100</v>
      </c>
      <c r="S51" s="46">
        <f>23750</f>
        <v>23750</v>
      </c>
      <c r="T51" s="23">
        <f>11875+12100</f>
        <v>23975</v>
      </c>
      <c r="U51" s="23">
        <f>23750+6200</f>
        <v>29950</v>
      </c>
      <c r="V51" s="23">
        <f>23750+14800</f>
        <v>38550</v>
      </c>
      <c r="W51" s="23"/>
      <c r="X51" s="23">
        <f>12100</f>
        <v>12100</v>
      </c>
      <c r="Y51" s="23"/>
      <c r="Z51" s="23">
        <f>12100</f>
        <v>12100</v>
      </c>
      <c r="AA51" s="23"/>
      <c r="AB51" s="23"/>
      <c r="AC51" s="23"/>
      <c r="AD51" s="23"/>
      <c r="AE51" s="23"/>
      <c r="AF51" s="23"/>
      <c r="AG51" s="23">
        <f>5760+15880</f>
        <v>21640</v>
      </c>
      <c r="AH51" s="23"/>
      <c r="AI51" s="23"/>
      <c r="AJ51" s="23"/>
      <c r="AK51" s="23"/>
      <c r="AL51" s="23"/>
      <c r="AM51" s="23"/>
      <c r="AN51" s="23"/>
      <c r="AO51" s="19">
        <f t="shared" si="1"/>
        <v>440755</v>
      </c>
      <c r="AP51" s="20"/>
      <c r="AQ51" s="21"/>
      <c r="AR51" s="21"/>
      <c r="AS51" s="21"/>
      <c r="AT51" s="21"/>
      <c r="AU51" s="21"/>
      <c r="AV51" s="21"/>
    </row>
    <row r="52" spans="1:48" ht="16.5" thickBot="1">
      <c r="A52" s="94"/>
      <c r="B52" s="45" t="s">
        <v>102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23">
        <f>50000</f>
        <v>50000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19">
        <f t="shared" si="1"/>
        <v>50000</v>
      </c>
      <c r="AP52" s="20"/>
      <c r="AQ52" s="21"/>
      <c r="AR52" s="21"/>
      <c r="AS52" s="21"/>
      <c r="AT52" s="21"/>
      <c r="AU52" s="21"/>
      <c r="AV52" s="21"/>
    </row>
    <row r="53" spans="1:48" ht="16.5" thickBot="1">
      <c r="A53" s="94"/>
      <c r="B53" s="52" t="s">
        <v>162</v>
      </c>
      <c r="C53" s="46"/>
      <c r="D53" s="46"/>
      <c r="E53" s="46"/>
      <c r="F53" s="46"/>
      <c r="G53" s="46">
        <f>70000</f>
        <v>70000</v>
      </c>
      <c r="H53" s="46"/>
      <c r="I53" s="46"/>
      <c r="J53" s="46">
        <f>70000</f>
        <v>70000</v>
      </c>
      <c r="K53" s="46"/>
      <c r="L53" s="46"/>
      <c r="M53" s="46"/>
      <c r="N53" s="46"/>
      <c r="O53" s="46"/>
      <c r="P53" s="46"/>
      <c r="Q53" s="46"/>
      <c r="R53" s="46"/>
      <c r="S53" s="46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19">
        <f t="shared" si="1"/>
        <v>140000</v>
      </c>
      <c r="AP53" s="20"/>
      <c r="AQ53" s="21"/>
      <c r="AR53" s="21"/>
      <c r="AS53" s="21"/>
      <c r="AT53" s="21"/>
      <c r="AU53" s="21"/>
      <c r="AV53" s="21"/>
    </row>
    <row r="54" spans="1:48" ht="16.5" thickBot="1">
      <c r="A54" s="94"/>
      <c r="B54" s="45" t="s">
        <v>142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19">
        <f t="shared" si="1"/>
        <v>0</v>
      </c>
      <c r="AP54" s="20"/>
      <c r="AQ54" s="21"/>
      <c r="AR54" s="21"/>
      <c r="AS54" s="21"/>
      <c r="AT54" s="21"/>
      <c r="AU54" s="21"/>
      <c r="AV54" s="21"/>
    </row>
    <row r="55" spans="1:48" ht="16.5" thickBot="1">
      <c r="A55" s="94"/>
      <c r="B55" s="45" t="s">
        <v>55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23"/>
      <c r="U55" s="23"/>
      <c r="V55" s="23"/>
      <c r="W55" s="23"/>
      <c r="X55" s="23"/>
      <c r="Y55" s="23"/>
      <c r="Z55" s="23"/>
      <c r="AA55" s="23"/>
      <c r="AB55" s="23"/>
      <c r="AC55" s="23">
        <f>5050</f>
        <v>5050</v>
      </c>
      <c r="AD55" s="23"/>
      <c r="AE55" s="23"/>
      <c r="AF55" s="23"/>
      <c r="AG55" s="23">
        <f>5150</f>
        <v>5150</v>
      </c>
      <c r="AH55" s="23"/>
      <c r="AI55" s="23"/>
      <c r="AJ55" s="23"/>
      <c r="AK55" s="23"/>
      <c r="AL55" s="23"/>
      <c r="AM55" s="23"/>
      <c r="AN55" s="23"/>
      <c r="AO55" s="19">
        <f t="shared" si="1"/>
        <v>10200</v>
      </c>
      <c r="AP55" s="20"/>
      <c r="AQ55" s="21"/>
      <c r="AR55" s="21"/>
      <c r="AS55" s="21"/>
      <c r="AT55" s="21"/>
      <c r="AU55" s="21"/>
      <c r="AV55" s="21"/>
    </row>
    <row r="56" spans="1:48" ht="16.5" thickBot="1">
      <c r="A56" s="94"/>
      <c r="B56" s="45" t="s">
        <v>58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19">
        <f t="shared" si="1"/>
        <v>0</v>
      </c>
      <c r="AP56" s="20"/>
      <c r="AQ56" s="21"/>
      <c r="AR56" s="21"/>
      <c r="AS56" s="21"/>
      <c r="AT56" s="21"/>
      <c r="AU56" s="21"/>
      <c r="AV56" s="21"/>
    </row>
    <row r="57" spans="1:48" ht="16.5" thickBot="1">
      <c r="A57" s="94"/>
      <c r="B57" s="45" t="s">
        <v>121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19">
        <f t="shared" si="1"/>
        <v>0</v>
      </c>
      <c r="AP57" s="20"/>
      <c r="AQ57" s="21"/>
      <c r="AR57" s="21"/>
      <c r="AS57" s="21"/>
      <c r="AT57" s="21"/>
      <c r="AU57" s="21"/>
      <c r="AV57" s="21"/>
    </row>
    <row r="58" spans="1:48" ht="16.5" thickBot="1">
      <c r="A58" s="94"/>
      <c r="B58" s="45" t="s">
        <v>127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19">
        <f t="shared" si="1"/>
        <v>0</v>
      </c>
      <c r="AP58" s="20"/>
      <c r="AQ58" s="21"/>
      <c r="AR58" s="21"/>
      <c r="AS58" s="21"/>
      <c r="AT58" s="21"/>
      <c r="AU58" s="21"/>
      <c r="AV58" s="21"/>
    </row>
    <row r="59" spans="1:48" ht="30.75" thickBot="1">
      <c r="A59" s="94"/>
      <c r="B59" s="47" t="s">
        <v>129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19">
        <f t="shared" si="1"/>
        <v>0</v>
      </c>
      <c r="AP59" s="20"/>
      <c r="AQ59" s="21"/>
      <c r="AR59" s="21"/>
      <c r="AS59" s="21"/>
      <c r="AT59" s="21"/>
      <c r="AU59" s="21"/>
      <c r="AV59" s="21"/>
    </row>
    <row r="60" spans="1:48" ht="16.5" thickBot="1">
      <c r="A60" s="94"/>
      <c r="B60" s="45" t="s">
        <v>63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19">
        <f t="shared" si="1"/>
        <v>0</v>
      </c>
      <c r="AP60" s="20"/>
      <c r="AQ60" s="21"/>
      <c r="AR60" s="21"/>
      <c r="AS60" s="21"/>
      <c r="AT60" s="21"/>
      <c r="AU60" s="21"/>
      <c r="AV60" s="21"/>
    </row>
    <row r="61" spans="1:48" ht="16.5" thickBot="1">
      <c r="A61" s="17"/>
      <c r="B61" s="45" t="s">
        <v>85</v>
      </c>
      <c r="C61" s="46"/>
      <c r="D61" s="46"/>
      <c r="E61" s="46">
        <f>28200</f>
        <v>28200</v>
      </c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19">
        <f t="shared" si="1"/>
        <v>28200</v>
      </c>
      <c r="AP61" s="20"/>
      <c r="AQ61" s="21"/>
      <c r="AR61" s="21"/>
      <c r="AS61" s="21"/>
      <c r="AT61" s="21"/>
      <c r="AU61" s="21"/>
      <c r="AV61" s="21"/>
    </row>
    <row r="62" spans="1:48" ht="16.5" thickBot="1">
      <c r="A62" s="17"/>
      <c r="B62" s="45" t="s">
        <v>88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19">
        <f t="shared" si="1"/>
        <v>0</v>
      </c>
      <c r="AP62" s="20"/>
      <c r="AQ62" s="21"/>
      <c r="AR62" s="21"/>
      <c r="AS62" s="21"/>
      <c r="AT62" s="21"/>
      <c r="AU62" s="21"/>
      <c r="AV62" s="21"/>
    </row>
    <row r="63" spans="1:48" ht="16.5" thickBot="1">
      <c r="A63" s="17"/>
      <c r="B63" s="45" t="s">
        <v>86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19">
        <f t="shared" si="1"/>
        <v>0</v>
      </c>
      <c r="AP63" s="20"/>
      <c r="AQ63" s="21"/>
      <c r="AR63" s="21"/>
      <c r="AS63" s="21"/>
      <c r="AT63" s="21"/>
      <c r="AU63" s="21"/>
      <c r="AV63" s="21"/>
    </row>
    <row r="64" spans="1:48" ht="16.5" thickBot="1">
      <c r="A64" s="17"/>
      <c r="B64" s="45" t="s">
        <v>123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19">
        <f t="shared" si="1"/>
        <v>0</v>
      </c>
      <c r="AP64" s="20"/>
      <c r="AQ64" s="21"/>
      <c r="AR64" s="21"/>
      <c r="AS64" s="21"/>
      <c r="AT64" s="21"/>
      <c r="AU64" s="21"/>
      <c r="AV64" s="21"/>
    </row>
    <row r="65" spans="1:48" ht="16.5" thickBot="1">
      <c r="A65" s="17"/>
      <c r="B65" s="45" t="s">
        <v>89</v>
      </c>
      <c r="C65" s="46"/>
      <c r="D65" s="46"/>
      <c r="E65" s="46">
        <v>12600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19">
        <f t="shared" si="1"/>
        <v>12600</v>
      </c>
      <c r="AP65" s="20"/>
      <c r="AQ65" s="21"/>
      <c r="AR65" s="21"/>
      <c r="AS65" s="21"/>
      <c r="AT65" s="21"/>
      <c r="AU65" s="21"/>
      <c r="AV65" s="21"/>
    </row>
    <row r="66" spans="1:48" ht="16.5" thickBot="1">
      <c r="A66" s="17"/>
      <c r="B66" s="45" t="s">
        <v>90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19">
        <f t="shared" si="1"/>
        <v>0</v>
      </c>
      <c r="AP66" s="20"/>
      <c r="AQ66" s="21"/>
      <c r="AR66" s="21"/>
      <c r="AS66" s="21"/>
      <c r="AT66" s="21"/>
      <c r="AU66" s="21"/>
      <c r="AV66" s="21"/>
    </row>
    <row r="67" spans="1:48" ht="16.5" thickBot="1">
      <c r="A67" s="16"/>
      <c r="B67" s="53" t="s">
        <v>155</v>
      </c>
      <c r="C67" s="54"/>
      <c r="D67" s="54">
        <f>7854</f>
        <v>7854</v>
      </c>
      <c r="E67" s="54"/>
      <c r="F67" s="54">
        <f>3901</f>
        <v>3901</v>
      </c>
      <c r="G67" s="54"/>
      <c r="H67" s="54">
        <f>5256+3901</f>
        <v>9157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>
        <f>2149+3901</f>
        <v>6050</v>
      </c>
      <c r="AF67" s="26"/>
      <c r="AG67" s="26"/>
      <c r="AH67" s="26"/>
      <c r="AI67" s="26"/>
      <c r="AJ67" s="26"/>
      <c r="AK67" s="26"/>
      <c r="AL67" s="26">
        <f>3901</f>
        <v>3901</v>
      </c>
      <c r="AM67" s="26"/>
      <c r="AN67" s="26"/>
      <c r="AO67" s="19">
        <f aca="true" t="shared" si="2" ref="AO67:AO98">SUM(C67:AN67)</f>
        <v>30863</v>
      </c>
      <c r="AP67" s="20"/>
      <c r="AQ67" s="21"/>
      <c r="AR67" s="21"/>
      <c r="AS67" s="21"/>
      <c r="AT67" s="21"/>
      <c r="AU67" s="21"/>
      <c r="AV67" s="21"/>
    </row>
    <row r="68" spans="1:48" ht="16.5" thickBot="1">
      <c r="A68" s="86"/>
      <c r="B68" s="55" t="s">
        <v>124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19">
        <f t="shared" si="2"/>
        <v>0</v>
      </c>
      <c r="AP68" s="20"/>
      <c r="AQ68" s="21"/>
      <c r="AR68" s="21"/>
      <c r="AS68" s="21"/>
      <c r="AT68" s="21"/>
      <c r="AU68" s="21"/>
      <c r="AV68" s="21"/>
    </row>
    <row r="69" spans="1:48" ht="16.5" thickBot="1">
      <c r="A69" s="86"/>
      <c r="B69" s="57" t="s">
        <v>35</v>
      </c>
      <c r="C69" s="44"/>
      <c r="D69" s="44"/>
      <c r="E69" s="44"/>
      <c r="F69" s="44"/>
      <c r="G69" s="44"/>
      <c r="H69" s="44"/>
      <c r="I69" s="44"/>
      <c r="J69" s="44"/>
      <c r="K69" s="44">
        <f>605</f>
        <v>605</v>
      </c>
      <c r="L69" s="44"/>
      <c r="M69" s="44">
        <f>2230</f>
        <v>2230</v>
      </c>
      <c r="N69" s="44"/>
      <c r="O69" s="44"/>
      <c r="P69" s="44">
        <f>695</f>
        <v>695</v>
      </c>
      <c r="Q69" s="44"/>
      <c r="R69" s="44"/>
      <c r="S69" s="44">
        <f>855</f>
        <v>855</v>
      </c>
      <c r="T69" s="22"/>
      <c r="U69" s="22"/>
      <c r="V69" s="22">
        <f>924</f>
        <v>924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>
        <f>1200</f>
        <v>1200</v>
      </c>
      <c r="AN69" s="22"/>
      <c r="AO69" s="19">
        <f t="shared" si="2"/>
        <v>6509</v>
      </c>
      <c r="AP69" s="20"/>
      <c r="AQ69" s="21"/>
      <c r="AR69" s="21"/>
      <c r="AS69" s="21"/>
      <c r="AT69" s="21"/>
      <c r="AU69" s="21"/>
      <c r="AV69" s="21"/>
    </row>
    <row r="70" spans="1:48" ht="16.5" thickBot="1">
      <c r="A70" s="86"/>
      <c r="B70" s="57" t="s">
        <v>37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19">
        <f t="shared" si="2"/>
        <v>0</v>
      </c>
      <c r="AP70" s="20"/>
      <c r="AQ70" s="21"/>
      <c r="AR70" s="21"/>
      <c r="AS70" s="21"/>
      <c r="AT70" s="21"/>
      <c r="AU70" s="21"/>
      <c r="AV70" s="21"/>
    </row>
    <row r="71" spans="1:48" ht="16.5" thickBot="1">
      <c r="A71" s="86"/>
      <c r="B71" s="57" t="s">
        <v>145</v>
      </c>
      <c r="C71" s="44">
        <f>772</f>
        <v>772</v>
      </c>
      <c r="D71" s="44">
        <f>1152</f>
        <v>1152</v>
      </c>
      <c r="E71" s="44">
        <f>772+4460</f>
        <v>5232</v>
      </c>
      <c r="F71" s="44">
        <f>1152</f>
        <v>1152</v>
      </c>
      <c r="G71" s="44">
        <f>1152</f>
        <v>1152</v>
      </c>
      <c r="H71" s="44">
        <f>1152</f>
        <v>1152</v>
      </c>
      <c r="I71" s="44">
        <f>1152</f>
        <v>1152</v>
      </c>
      <c r="J71" s="44">
        <f>772</f>
        <v>772</v>
      </c>
      <c r="K71" s="44"/>
      <c r="L71" s="44">
        <f>1152+4460</f>
        <v>5612</v>
      </c>
      <c r="M71" s="44">
        <f>772+3255+4985+3050</f>
        <v>12062</v>
      </c>
      <c r="N71" s="44">
        <f>772</f>
        <v>772</v>
      </c>
      <c r="O71" s="44">
        <f>772</f>
        <v>772</v>
      </c>
      <c r="P71" s="44">
        <f>1152+3705</f>
        <v>4857</v>
      </c>
      <c r="Q71" s="44">
        <f>772</f>
        <v>772</v>
      </c>
      <c r="R71" s="44">
        <v>772</v>
      </c>
      <c r="S71" s="44">
        <f>386</f>
        <v>386</v>
      </c>
      <c r="T71" s="22">
        <f>1152</f>
        <v>1152</v>
      </c>
      <c r="U71" s="22">
        <f>772</f>
        <v>772</v>
      </c>
      <c r="V71" s="22">
        <f>772</f>
        <v>772</v>
      </c>
      <c r="W71" s="22">
        <f>380</f>
        <v>380</v>
      </c>
      <c r="X71" s="22">
        <f>380+5000</f>
        <v>5380</v>
      </c>
      <c r="Y71" s="22">
        <f>1152</f>
        <v>1152</v>
      </c>
      <c r="Z71" s="22">
        <f>766</f>
        <v>766</v>
      </c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19">
        <f t="shared" si="2"/>
        <v>48915</v>
      </c>
      <c r="AP71" s="20"/>
      <c r="AQ71" s="21"/>
      <c r="AR71" s="21"/>
      <c r="AS71" s="21"/>
      <c r="AT71" s="21"/>
      <c r="AU71" s="21"/>
      <c r="AV71" s="21"/>
    </row>
    <row r="72" spans="1:48" ht="16.5" thickBot="1">
      <c r="A72" s="86"/>
      <c r="B72" s="57" t="s">
        <v>132</v>
      </c>
      <c r="C72" s="44">
        <f>2185+126</f>
        <v>2311</v>
      </c>
      <c r="D72" s="44">
        <f>2177</f>
        <v>2177</v>
      </c>
      <c r="E72" s="44">
        <f>1569.25</f>
        <v>1569.25</v>
      </c>
      <c r="F72" s="44">
        <f>6021</f>
        <v>6021</v>
      </c>
      <c r="G72" s="44">
        <f>1928.5+144</f>
        <v>2072.5</v>
      </c>
      <c r="H72" s="44">
        <f>3149.25</f>
        <v>3149.25</v>
      </c>
      <c r="I72" s="44">
        <f>1822.25</f>
        <v>1822.25</v>
      </c>
      <c r="J72" s="44">
        <f>1875</f>
        <v>1875</v>
      </c>
      <c r="K72" s="44">
        <f>1797.5</f>
        <v>1797.5</v>
      </c>
      <c r="L72" s="44">
        <f>1997.5</f>
        <v>1997.5</v>
      </c>
      <c r="M72" s="44">
        <f>3028</f>
        <v>3028</v>
      </c>
      <c r="N72" s="44">
        <f>2014.25</f>
        <v>2014.25</v>
      </c>
      <c r="O72" s="44">
        <f>1933.25</f>
        <v>1933.25</v>
      </c>
      <c r="P72" s="44">
        <f>1745.5</f>
        <v>1745.5</v>
      </c>
      <c r="Q72" s="44">
        <f>3180.25+42</f>
        <v>3222.25</v>
      </c>
      <c r="R72" s="44">
        <f>1641.25</f>
        <v>1641.25</v>
      </c>
      <c r="S72" s="44">
        <f>1671.25</f>
        <v>1671.25</v>
      </c>
      <c r="T72" s="22">
        <f>2697</f>
        <v>2697</v>
      </c>
      <c r="U72" s="22">
        <f>2280.75</f>
        <v>2280.75</v>
      </c>
      <c r="V72" s="22">
        <v>1725.25</v>
      </c>
      <c r="W72" s="22">
        <v>1310.75</v>
      </c>
      <c r="X72" s="22">
        <f>1507.25+102</f>
        <v>1609.25</v>
      </c>
      <c r="Y72" s="22">
        <v>1167.25</v>
      </c>
      <c r="Z72" s="22">
        <f>1118.5+54</f>
        <v>1172.5</v>
      </c>
      <c r="AA72" s="22">
        <f>426</f>
        <v>426</v>
      </c>
      <c r="AB72" s="22">
        <v>348.25</v>
      </c>
      <c r="AC72" s="22">
        <f>484</f>
        <v>484</v>
      </c>
      <c r="AD72" s="22">
        <f>309</f>
        <v>309</v>
      </c>
      <c r="AE72" s="22">
        <v>324</v>
      </c>
      <c r="AF72" s="22">
        <v>186</v>
      </c>
      <c r="AG72" s="22"/>
      <c r="AH72" s="22">
        <v>232</v>
      </c>
      <c r="AI72" s="22">
        <v>140</v>
      </c>
      <c r="AJ72" s="22">
        <v>94</v>
      </c>
      <c r="AK72" s="22">
        <v>232</v>
      </c>
      <c r="AL72" s="22">
        <v>232</v>
      </c>
      <c r="AM72" s="22">
        <v>140</v>
      </c>
      <c r="AN72" s="22">
        <v>140</v>
      </c>
      <c r="AO72" s="19">
        <f t="shared" si="2"/>
        <v>55298</v>
      </c>
      <c r="AP72" s="20"/>
      <c r="AQ72" s="21"/>
      <c r="AR72" s="21"/>
      <c r="AS72" s="21"/>
      <c r="AT72" s="21"/>
      <c r="AU72" s="21"/>
      <c r="AV72" s="21"/>
    </row>
    <row r="73" spans="1:48" ht="16.5" thickBot="1">
      <c r="A73" s="86"/>
      <c r="B73" s="57" t="s">
        <v>137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19">
        <f t="shared" si="2"/>
        <v>0</v>
      </c>
      <c r="AP73" s="20"/>
      <c r="AQ73" s="21"/>
      <c r="AR73" s="21"/>
      <c r="AS73" s="21"/>
      <c r="AT73" s="21"/>
      <c r="AU73" s="21"/>
      <c r="AV73" s="21"/>
    </row>
    <row r="74" spans="1:48" ht="16.5" thickBot="1">
      <c r="A74" s="86"/>
      <c r="B74" s="57" t="s">
        <v>163</v>
      </c>
      <c r="C74" s="44"/>
      <c r="D74" s="44"/>
      <c r="E74" s="44"/>
      <c r="F74" s="44">
        <f>672</f>
        <v>672</v>
      </c>
      <c r="G74" s="44"/>
      <c r="H74" s="44">
        <f>336</f>
        <v>336</v>
      </c>
      <c r="I74" s="44"/>
      <c r="J74" s="44"/>
      <c r="K74" s="44"/>
      <c r="L74" s="44"/>
      <c r="M74" s="44"/>
      <c r="N74" s="44"/>
      <c r="O74" s="44">
        <f>448</f>
        <v>448</v>
      </c>
      <c r="P74" s="44"/>
      <c r="Q74" s="44"/>
      <c r="R74" s="44"/>
      <c r="S74" s="4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19">
        <f t="shared" si="2"/>
        <v>1456</v>
      </c>
      <c r="AP74" s="20"/>
      <c r="AQ74" s="21"/>
      <c r="AR74" s="21"/>
      <c r="AS74" s="21"/>
      <c r="AT74" s="21"/>
      <c r="AU74" s="21"/>
      <c r="AV74" s="21"/>
    </row>
    <row r="75" spans="1:48" ht="16.5" thickBot="1">
      <c r="A75" s="86"/>
      <c r="B75" s="57" t="s">
        <v>122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19">
        <f t="shared" si="2"/>
        <v>0</v>
      </c>
      <c r="AP75" s="20"/>
      <c r="AQ75" s="21"/>
      <c r="AR75" s="21"/>
      <c r="AS75" s="21"/>
      <c r="AT75" s="21"/>
      <c r="AU75" s="21"/>
      <c r="AV75" s="21"/>
    </row>
    <row r="76" spans="1:48" ht="16.5" thickBot="1">
      <c r="A76" s="86"/>
      <c r="B76" s="57" t="s">
        <v>53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19">
        <f t="shared" si="2"/>
        <v>0</v>
      </c>
      <c r="AP76" s="20"/>
      <c r="AQ76" s="21"/>
      <c r="AR76" s="21"/>
      <c r="AS76" s="21"/>
      <c r="AT76" s="21"/>
      <c r="AU76" s="21"/>
      <c r="AV76" s="21"/>
    </row>
    <row r="77" spans="1:48" ht="16.5" thickBot="1">
      <c r="A77" s="86"/>
      <c r="B77" s="57" t="s">
        <v>57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19">
        <f t="shared" si="2"/>
        <v>0</v>
      </c>
      <c r="AP77" s="20"/>
      <c r="AQ77" s="21"/>
      <c r="AR77" s="21"/>
      <c r="AS77" s="21"/>
      <c r="AT77" s="21"/>
      <c r="AU77" s="21"/>
      <c r="AV77" s="21"/>
    </row>
    <row r="78" spans="1:48" ht="16.5" thickBot="1">
      <c r="A78" s="86"/>
      <c r="B78" s="57" t="s">
        <v>59</v>
      </c>
      <c r="C78" s="44"/>
      <c r="D78" s="44"/>
      <c r="E78" s="44"/>
      <c r="F78" s="44"/>
      <c r="G78" s="44"/>
      <c r="H78" s="44"/>
      <c r="I78" s="44"/>
      <c r="J78" s="44"/>
      <c r="K78" s="44"/>
      <c r="L78" s="44">
        <f>6300</f>
        <v>6300</v>
      </c>
      <c r="M78" s="44"/>
      <c r="N78" s="44"/>
      <c r="O78" s="44"/>
      <c r="P78" s="44"/>
      <c r="Q78" s="44"/>
      <c r="R78" s="44"/>
      <c r="S78" s="4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19">
        <f t="shared" si="2"/>
        <v>6300</v>
      </c>
      <c r="AP78" s="20"/>
      <c r="AQ78" s="21"/>
      <c r="AR78" s="21"/>
      <c r="AS78" s="21"/>
      <c r="AT78" s="21"/>
      <c r="AU78" s="21"/>
      <c r="AV78" s="21"/>
    </row>
    <row r="79" spans="1:48" ht="16.5" thickBot="1">
      <c r="A79" s="86"/>
      <c r="B79" s="57" t="s">
        <v>146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19">
        <f t="shared" si="2"/>
        <v>0</v>
      </c>
      <c r="AP79" s="20"/>
      <c r="AQ79" s="21"/>
      <c r="AR79" s="21"/>
      <c r="AS79" s="21"/>
      <c r="AT79" s="21"/>
      <c r="AU79" s="21"/>
      <c r="AV79" s="21"/>
    </row>
    <row r="80" spans="1:48" ht="16.5" thickBot="1">
      <c r="A80" s="86"/>
      <c r="B80" s="57" t="s">
        <v>62</v>
      </c>
      <c r="C80" s="44"/>
      <c r="D80" s="44">
        <f>700</f>
        <v>700</v>
      </c>
      <c r="E80" s="44"/>
      <c r="F80" s="44">
        <f>2890</f>
        <v>2890</v>
      </c>
      <c r="G80" s="44"/>
      <c r="H80" s="44">
        <f>2510</f>
        <v>2510</v>
      </c>
      <c r="I80" s="44">
        <f>2570</f>
        <v>2570</v>
      </c>
      <c r="J80" s="44"/>
      <c r="K80" s="44">
        <f>1340</f>
        <v>1340</v>
      </c>
      <c r="L80" s="44"/>
      <c r="M80" s="44">
        <f>1200</f>
        <v>1200</v>
      </c>
      <c r="N80" s="44"/>
      <c r="O80" s="44"/>
      <c r="P80" s="44">
        <f>1900</f>
        <v>1900</v>
      </c>
      <c r="Q80" s="44">
        <f>1620</f>
        <v>1620</v>
      </c>
      <c r="R80" s="44"/>
      <c r="S80" s="44">
        <f>1260</f>
        <v>1260</v>
      </c>
      <c r="T80" s="22">
        <f>3210</f>
        <v>3210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19">
        <f t="shared" si="2"/>
        <v>19200</v>
      </c>
      <c r="AP80" s="20"/>
      <c r="AQ80" s="21"/>
      <c r="AR80" s="21"/>
      <c r="AS80" s="21"/>
      <c r="AT80" s="21"/>
      <c r="AU80" s="21"/>
      <c r="AV80" s="21"/>
    </row>
    <row r="81" spans="1:48" ht="16.5" thickBot="1">
      <c r="A81" s="86"/>
      <c r="B81" s="57" t="s">
        <v>74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19">
        <f t="shared" si="2"/>
        <v>0</v>
      </c>
      <c r="AP81" s="20"/>
      <c r="AQ81" s="21"/>
      <c r="AR81" s="21"/>
      <c r="AS81" s="21"/>
      <c r="AT81" s="21"/>
      <c r="AU81" s="21"/>
      <c r="AV81" s="21"/>
    </row>
    <row r="82" spans="1:48" ht="35.25" customHeight="1" thickBot="1">
      <c r="A82" s="87"/>
      <c r="B82" s="58" t="s">
        <v>117</v>
      </c>
      <c r="C82" s="51">
        <f>822</f>
        <v>822</v>
      </c>
      <c r="D82" s="51">
        <f>880</f>
        <v>880</v>
      </c>
      <c r="E82" s="51">
        <f>600+24300</f>
        <v>24900</v>
      </c>
      <c r="F82" s="51"/>
      <c r="G82" s="51">
        <f>320</f>
        <v>320</v>
      </c>
      <c r="H82" s="51">
        <f>1200</f>
        <v>1200</v>
      </c>
      <c r="I82" s="51">
        <f>1004</f>
        <v>1004</v>
      </c>
      <c r="J82" s="51">
        <f>1266</f>
        <v>1266</v>
      </c>
      <c r="K82" s="51">
        <f>542</f>
        <v>542</v>
      </c>
      <c r="L82" s="51">
        <f>600</f>
        <v>600</v>
      </c>
      <c r="M82" s="51"/>
      <c r="N82" s="51">
        <f>542</f>
        <v>542</v>
      </c>
      <c r="O82" s="51">
        <f>1324</f>
        <v>1324</v>
      </c>
      <c r="P82" s="51">
        <f>1044</f>
        <v>1044</v>
      </c>
      <c r="Q82" s="51">
        <f>1546</f>
        <v>1546</v>
      </c>
      <c r="R82" s="51">
        <f>1044</f>
        <v>1044</v>
      </c>
      <c r="S82" s="51">
        <f>822</f>
        <v>822</v>
      </c>
      <c r="T82" s="25">
        <f>1488</f>
        <v>1488</v>
      </c>
      <c r="U82" s="25">
        <f>822</f>
        <v>822</v>
      </c>
      <c r="V82" s="25">
        <f>1044</f>
        <v>1044</v>
      </c>
      <c r="W82" s="25"/>
      <c r="X82" s="25">
        <f>320</f>
        <v>320</v>
      </c>
      <c r="Y82" s="25"/>
      <c r="Z82" s="25"/>
      <c r="AA82" s="25"/>
      <c r="AB82" s="25"/>
      <c r="AC82" s="25">
        <f>764</f>
        <v>764</v>
      </c>
      <c r="AD82" s="25"/>
      <c r="AE82" s="25"/>
      <c r="AF82" s="25"/>
      <c r="AG82" s="25">
        <f>4100+7900+2630+600+600</f>
        <v>15830</v>
      </c>
      <c r="AH82" s="25"/>
      <c r="AI82" s="25"/>
      <c r="AJ82" s="25"/>
      <c r="AK82" s="25"/>
      <c r="AL82" s="25"/>
      <c r="AM82" s="25"/>
      <c r="AN82" s="25"/>
      <c r="AO82" s="19">
        <f t="shared" si="2"/>
        <v>58124</v>
      </c>
      <c r="AP82" s="20"/>
      <c r="AQ82" s="21"/>
      <c r="AR82" s="21"/>
      <c r="AS82" s="21"/>
      <c r="AT82" s="21"/>
      <c r="AU82" s="21"/>
      <c r="AV82" s="21"/>
    </row>
    <row r="83" spans="1:48" ht="16.5" thickBot="1">
      <c r="A83" s="87"/>
      <c r="B83" s="58" t="s">
        <v>120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19">
        <f t="shared" si="2"/>
        <v>0</v>
      </c>
      <c r="AP83" s="20"/>
      <c r="AQ83" s="21"/>
      <c r="AR83" s="21"/>
      <c r="AS83" s="21"/>
      <c r="AT83" s="21"/>
      <c r="AU83" s="21"/>
      <c r="AV83" s="21"/>
    </row>
    <row r="84" spans="1:48" ht="16.5" thickBot="1">
      <c r="A84" s="87"/>
      <c r="B84" s="58" t="s">
        <v>154</v>
      </c>
      <c r="C84" s="51"/>
      <c r="D84" s="51">
        <f>30000</f>
        <v>30000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25"/>
      <c r="U84" s="25"/>
      <c r="V84" s="25"/>
      <c r="W84" s="25"/>
      <c r="X84" s="25"/>
      <c r="Y84" s="25"/>
      <c r="Z84" s="25">
        <f>30000</f>
        <v>30000</v>
      </c>
      <c r="AA84" s="25"/>
      <c r="AB84" s="25"/>
      <c r="AC84" s="25"/>
      <c r="AD84" s="25"/>
      <c r="AE84" s="25"/>
      <c r="AF84" s="25"/>
      <c r="AG84" s="25">
        <f>60000</f>
        <v>60000</v>
      </c>
      <c r="AH84" s="25"/>
      <c r="AI84" s="25"/>
      <c r="AJ84" s="25"/>
      <c r="AK84" s="25"/>
      <c r="AL84" s="25"/>
      <c r="AM84" s="25"/>
      <c r="AN84" s="25"/>
      <c r="AO84" s="19">
        <f t="shared" si="2"/>
        <v>120000</v>
      </c>
      <c r="AP84" s="20"/>
      <c r="AQ84" s="21"/>
      <c r="AR84" s="21"/>
      <c r="AS84" s="21"/>
      <c r="AT84" s="21"/>
      <c r="AU84" s="21"/>
      <c r="AV84" s="21"/>
    </row>
    <row r="85" spans="1:48" ht="16.5" thickBot="1">
      <c r="A85" s="88"/>
      <c r="B85" s="59" t="s">
        <v>76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19">
        <f t="shared" si="2"/>
        <v>0</v>
      </c>
      <c r="AP85" s="20"/>
      <c r="AQ85" s="21" t="s">
        <v>79</v>
      </c>
      <c r="AR85" s="21"/>
      <c r="AS85" s="21"/>
      <c r="AT85" s="21"/>
      <c r="AU85" s="21"/>
      <c r="AV85" s="21"/>
    </row>
    <row r="86" spans="1:48" ht="16.5" thickBot="1">
      <c r="A86" s="13"/>
      <c r="B86" s="60" t="s">
        <v>47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19">
        <f t="shared" si="2"/>
        <v>0</v>
      </c>
      <c r="AP86" s="20"/>
      <c r="AQ86" s="21"/>
      <c r="AR86" s="21"/>
      <c r="AS86" s="21"/>
      <c r="AT86" s="21"/>
      <c r="AU86" s="21"/>
      <c r="AV86" s="21"/>
    </row>
    <row r="87" spans="1:48" ht="16.5" thickBot="1">
      <c r="A87" s="11"/>
      <c r="B87" s="43" t="s">
        <v>46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>
        <f>17600+10560</f>
        <v>28160</v>
      </c>
      <c r="AH87" s="22"/>
      <c r="AI87" s="22"/>
      <c r="AJ87" s="22"/>
      <c r="AK87" s="22"/>
      <c r="AL87" s="22"/>
      <c r="AM87" s="22"/>
      <c r="AN87" s="22"/>
      <c r="AO87" s="19">
        <f t="shared" si="2"/>
        <v>28160</v>
      </c>
      <c r="AP87" s="20"/>
      <c r="AQ87" s="21"/>
      <c r="AR87" s="21"/>
      <c r="AS87" s="21"/>
      <c r="AT87" s="21"/>
      <c r="AU87" s="21"/>
      <c r="AV87" s="21"/>
    </row>
    <row r="88" spans="1:48" ht="16.5" thickBot="1">
      <c r="A88" s="11"/>
      <c r="B88" s="43" t="s">
        <v>52</v>
      </c>
      <c r="C88" s="44"/>
      <c r="D88" s="44"/>
      <c r="E88" s="44"/>
      <c r="F88" s="44">
        <f>999.36</f>
        <v>999.36</v>
      </c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>
        <f>537.73</f>
        <v>537.73</v>
      </c>
      <c r="S88" s="44">
        <f>640.04</f>
        <v>640.04</v>
      </c>
      <c r="T88" s="22"/>
      <c r="U88" s="22"/>
      <c r="V88" s="22">
        <f>27.32+524.34</f>
        <v>551.6600000000001</v>
      </c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19">
        <f t="shared" si="2"/>
        <v>2728.79</v>
      </c>
      <c r="AP88" s="20"/>
      <c r="AQ88" s="21"/>
      <c r="AR88" s="21"/>
      <c r="AS88" s="21"/>
      <c r="AT88" s="21"/>
      <c r="AU88" s="21"/>
      <c r="AV88" s="21"/>
    </row>
    <row r="89" spans="1:48" ht="16.5" thickBot="1">
      <c r="A89" s="11"/>
      <c r="B89" s="43" t="s">
        <v>158</v>
      </c>
      <c r="C89" s="44"/>
      <c r="D89" s="44"/>
      <c r="E89" s="44">
        <f>2870</f>
        <v>2870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19">
        <f t="shared" si="2"/>
        <v>2870</v>
      </c>
      <c r="AP89" s="20"/>
      <c r="AQ89" s="21"/>
      <c r="AR89" s="21"/>
      <c r="AS89" s="21"/>
      <c r="AT89" s="21"/>
      <c r="AU89" s="21"/>
      <c r="AV89" s="21"/>
    </row>
    <row r="90" spans="1:48" ht="16.5" thickBot="1">
      <c r="A90" s="11"/>
      <c r="B90" s="43" t="s">
        <v>159</v>
      </c>
      <c r="C90" s="44"/>
      <c r="D90" s="44"/>
      <c r="E90" s="44">
        <f>2250</f>
        <v>2250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19">
        <f t="shared" si="2"/>
        <v>2250</v>
      </c>
      <c r="AP90" s="20"/>
      <c r="AQ90" s="21"/>
      <c r="AR90" s="21"/>
      <c r="AS90" s="21"/>
      <c r="AT90" s="21"/>
      <c r="AU90" s="21"/>
      <c r="AV90" s="21"/>
    </row>
    <row r="91" spans="1:48" ht="16.5" thickBot="1">
      <c r="A91" s="11"/>
      <c r="B91" s="43" t="s">
        <v>160</v>
      </c>
      <c r="C91" s="44"/>
      <c r="D91" s="44"/>
      <c r="E91" s="44">
        <f>5770</f>
        <v>5770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19">
        <f t="shared" si="2"/>
        <v>5770</v>
      </c>
      <c r="AP91" s="20"/>
      <c r="AQ91" s="21"/>
      <c r="AR91" s="21"/>
      <c r="AS91" s="21"/>
      <c r="AT91" s="21"/>
      <c r="AU91" s="21"/>
      <c r="AV91" s="21"/>
    </row>
    <row r="92" spans="1:48" ht="16.5" thickBot="1">
      <c r="A92" s="11"/>
      <c r="B92" s="43" t="s">
        <v>161</v>
      </c>
      <c r="C92" s="44"/>
      <c r="D92" s="44"/>
      <c r="E92" s="44">
        <f>4500</f>
        <v>4500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19">
        <f t="shared" si="2"/>
        <v>4500</v>
      </c>
      <c r="AP92" s="20"/>
      <c r="AQ92" s="21"/>
      <c r="AR92" s="21"/>
      <c r="AS92" s="21"/>
      <c r="AT92" s="21"/>
      <c r="AU92" s="21"/>
      <c r="AV92" s="21"/>
    </row>
    <row r="93" spans="1:48" ht="16.5" thickBot="1">
      <c r="A93" s="11"/>
      <c r="B93" s="43" t="s">
        <v>156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>
        <f>1444+8490</f>
        <v>9934</v>
      </c>
      <c r="AH93" s="22"/>
      <c r="AI93" s="22"/>
      <c r="AJ93" s="22"/>
      <c r="AK93" s="22"/>
      <c r="AL93" s="22"/>
      <c r="AM93" s="22"/>
      <c r="AN93" s="22"/>
      <c r="AO93" s="19">
        <f t="shared" si="2"/>
        <v>9934</v>
      </c>
      <c r="AP93" s="20"/>
      <c r="AQ93" s="21"/>
      <c r="AR93" s="21"/>
      <c r="AS93" s="21"/>
      <c r="AT93" s="21"/>
      <c r="AU93" s="21"/>
      <c r="AV93" s="21"/>
    </row>
    <row r="94" spans="1:48" ht="16.5" thickBot="1">
      <c r="A94" s="11"/>
      <c r="B94" s="43" t="s">
        <v>98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19">
        <f t="shared" si="2"/>
        <v>0</v>
      </c>
      <c r="AP94" s="20"/>
      <c r="AQ94" s="21"/>
      <c r="AR94" s="21"/>
      <c r="AS94" s="21"/>
      <c r="AT94" s="21"/>
      <c r="AU94" s="21"/>
      <c r="AV94" s="21"/>
    </row>
    <row r="95" spans="1:48" ht="27.75" customHeight="1" thickBot="1">
      <c r="A95" s="11"/>
      <c r="B95" s="61" t="s">
        <v>81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>
        <f>11400+45000+9900</f>
        <v>66300</v>
      </c>
      <c r="AH95" s="22"/>
      <c r="AI95" s="22"/>
      <c r="AJ95" s="22"/>
      <c r="AK95" s="22"/>
      <c r="AL95" s="22"/>
      <c r="AM95" s="22"/>
      <c r="AN95" s="22"/>
      <c r="AO95" s="19">
        <f t="shared" si="2"/>
        <v>66300</v>
      </c>
      <c r="AP95" s="20"/>
      <c r="AQ95" s="21"/>
      <c r="AR95" s="21"/>
      <c r="AS95" s="21"/>
      <c r="AT95" s="21"/>
      <c r="AU95" s="21"/>
      <c r="AV95" s="21"/>
    </row>
    <row r="96" spans="1:48" ht="16.5" thickBot="1">
      <c r="A96" s="11"/>
      <c r="B96" s="43" t="s">
        <v>84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19">
        <f t="shared" si="2"/>
        <v>0</v>
      </c>
      <c r="AP96" s="20"/>
      <c r="AQ96" s="21"/>
      <c r="AR96" s="21"/>
      <c r="AS96" s="21"/>
      <c r="AT96" s="21"/>
      <c r="AU96" s="21"/>
      <c r="AV96" s="21"/>
    </row>
    <row r="97" spans="1:48" ht="16.5" thickBot="1">
      <c r="A97" s="11"/>
      <c r="B97" s="43" t="s">
        <v>91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19">
        <f t="shared" si="2"/>
        <v>0</v>
      </c>
      <c r="AP97" s="20"/>
      <c r="AQ97" s="21"/>
      <c r="AR97" s="21"/>
      <c r="AS97" s="21"/>
      <c r="AT97" s="21"/>
      <c r="AU97" s="21"/>
      <c r="AV97" s="21"/>
    </row>
    <row r="98" spans="1:48" ht="16.5" thickBot="1">
      <c r="A98" s="11"/>
      <c r="B98" s="43" t="s">
        <v>128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19">
        <f t="shared" si="2"/>
        <v>0</v>
      </c>
      <c r="AP98" s="20"/>
      <c r="AQ98" s="21"/>
      <c r="AR98" s="21"/>
      <c r="AS98" s="21"/>
      <c r="AT98" s="21"/>
      <c r="AU98" s="21"/>
      <c r="AV98" s="21"/>
    </row>
    <row r="99" spans="1:48" ht="16.5" thickBot="1">
      <c r="A99" s="11"/>
      <c r="B99" s="43" t="s">
        <v>92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22">
        <f>4620</f>
        <v>4620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19">
        <f aca="true" t="shared" si="3" ref="AO99:AO130">SUM(C99:AN99)</f>
        <v>4620</v>
      </c>
      <c r="AP99" s="20"/>
      <c r="AQ99" s="21"/>
      <c r="AR99" s="21"/>
      <c r="AS99" s="21"/>
      <c r="AT99" s="21"/>
      <c r="AU99" s="21"/>
      <c r="AV99" s="21"/>
    </row>
    <row r="100" spans="1:48" ht="16.5" thickBot="1">
      <c r="A100" s="11"/>
      <c r="B100" s="43" t="s">
        <v>140</v>
      </c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19">
        <f t="shared" si="3"/>
        <v>0</v>
      </c>
      <c r="AP100" s="20"/>
      <c r="AQ100" s="21"/>
      <c r="AR100" s="21"/>
      <c r="AS100" s="21"/>
      <c r="AT100" s="21"/>
      <c r="AU100" s="21"/>
      <c r="AV100" s="21"/>
    </row>
    <row r="101" spans="1:48" ht="16.5" thickBot="1">
      <c r="A101" s="11"/>
      <c r="B101" s="43" t="s">
        <v>93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19">
        <f t="shared" si="3"/>
        <v>0</v>
      </c>
      <c r="AP101" s="20"/>
      <c r="AQ101" s="21"/>
      <c r="AR101" s="21"/>
      <c r="AS101" s="21"/>
      <c r="AT101" s="21"/>
      <c r="AU101" s="21"/>
      <c r="AV101" s="21"/>
    </row>
    <row r="102" spans="1:48" ht="16.5" thickBot="1">
      <c r="A102" s="11"/>
      <c r="B102" s="43" t="s">
        <v>94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19">
        <f t="shared" si="3"/>
        <v>0</v>
      </c>
      <c r="AP102" s="20"/>
      <c r="AQ102" s="21"/>
      <c r="AR102" s="21"/>
      <c r="AS102" s="21"/>
      <c r="AT102" s="21"/>
      <c r="AU102" s="21"/>
      <c r="AV102" s="21"/>
    </row>
    <row r="103" spans="1:48" ht="16.5" thickBot="1">
      <c r="A103" s="11"/>
      <c r="B103" s="43" t="s">
        <v>95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19">
        <f t="shared" si="3"/>
        <v>0</v>
      </c>
      <c r="AP103" s="20"/>
      <c r="AQ103" s="21"/>
      <c r="AR103" s="21"/>
      <c r="AS103" s="21"/>
      <c r="AT103" s="21"/>
      <c r="AU103" s="21"/>
      <c r="AV103" s="21"/>
    </row>
    <row r="104" spans="1:48" ht="16.5" thickBot="1">
      <c r="A104" s="11"/>
      <c r="B104" s="43" t="s">
        <v>157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>
        <f>5000</f>
        <v>5000</v>
      </c>
      <c r="AN104" s="22"/>
      <c r="AO104" s="19">
        <f t="shared" si="3"/>
        <v>5000</v>
      </c>
      <c r="AP104" s="20"/>
      <c r="AQ104" s="21"/>
      <c r="AR104" s="21"/>
      <c r="AS104" s="21"/>
      <c r="AT104" s="21"/>
      <c r="AU104" s="21"/>
      <c r="AV104" s="21"/>
    </row>
    <row r="105" spans="1:48" ht="16.5" thickBot="1">
      <c r="A105" s="11"/>
      <c r="B105" s="43" t="s">
        <v>96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19">
        <f t="shared" si="3"/>
        <v>0</v>
      </c>
      <c r="AP105" s="20"/>
      <c r="AQ105" s="21"/>
      <c r="AR105" s="21"/>
      <c r="AS105" s="21"/>
      <c r="AT105" s="21"/>
      <c r="AU105" s="21"/>
      <c r="AV105" s="21"/>
    </row>
    <row r="106" spans="1:48" ht="16.5" thickBot="1">
      <c r="A106" s="11"/>
      <c r="B106" s="43" t="s">
        <v>98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19">
        <f t="shared" si="3"/>
        <v>0</v>
      </c>
      <c r="AP106" s="20"/>
      <c r="AQ106" s="21"/>
      <c r="AR106" s="21"/>
      <c r="AS106" s="21"/>
      <c r="AT106" s="21"/>
      <c r="AU106" s="21"/>
      <c r="AV106" s="21"/>
    </row>
    <row r="107" spans="1:48" ht="16.5" thickBot="1">
      <c r="A107" s="11"/>
      <c r="B107" s="43" t="s">
        <v>99</v>
      </c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19">
        <f t="shared" si="3"/>
        <v>0</v>
      </c>
      <c r="AP107" s="20"/>
      <c r="AQ107" s="21"/>
      <c r="AR107" s="21"/>
      <c r="AS107" s="21"/>
      <c r="AT107" s="21"/>
      <c r="AU107" s="21"/>
      <c r="AV107" s="21"/>
    </row>
    <row r="108" spans="1:48" ht="16.5" thickBot="1">
      <c r="A108" s="11"/>
      <c r="B108" s="43" t="s">
        <v>125</v>
      </c>
      <c r="C108" s="44"/>
      <c r="D108" s="44"/>
      <c r="E108" s="44"/>
      <c r="F108" s="44"/>
      <c r="G108" s="44"/>
      <c r="H108" s="44"/>
      <c r="I108" s="44">
        <f>8640</f>
        <v>8640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19">
        <f t="shared" si="3"/>
        <v>8640</v>
      </c>
      <c r="AP108" s="20"/>
      <c r="AQ108" s="21"/>
      <c r="AR108" s="21"/>
      <c r="AS108" s="21"/>
      <c r="AT108" s="21"/>
      <c r="AU108" s="21"/>
      <c r="AV108" s="21"/>
    </row>
    <row r="109" spans="1:48" ht="16.5" thickBot="1">
      <c r="A109" s="11"/>
      <c r="B109" s="43" t="s">
        <v>133</v>
      </c>
      <c r="C109" s="44"/>
      <c r="D109" s="44"/>
      <c r="E109" s="44"/>
      <c r="F109" s="44"/>
      <c r="G109" s="44"/>
      <c r="H109" s="44"/>
      <c r="I109" s="44"/>
      <c r="J109" s="44">
        <f>2048</f>
        <v>2048</v>
      </c>
      <c r="K109" s="44"/>
      <c r="L109" s="44"/>
      <c r="M109" s="44"/>
      <c r="N109" s="44"/>
      <c r="O109" s="44"/>
      <c r="P109" s="44"/>
      <c r="Q109" s="44">
        <f>9600</f>
        <v>9600</v>
      </c>
      <c r="R109" s="44"/>
      <c r="S109" s="44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19">
        <f t="shared" si="3"/>
        <v>11648</v>
      </c>
      <c r="AP109" s="20"/>
      <c r="AQ109" s="21"/>
      <c r="AR109" s="21"/>
      <c r="AS109" s="21"/>
      <c r="AT109" s="21"/>
      <c r="AU109" s="21"/>
      <c r="AV109" s="21"/>
    </row>
    <row r="110" spans="1:48" ht="16.5" thickBot="1">
      <c r="A110" s="11"/>
      <c r="B110" s="43" t="s">
        <v>110</v>
      </c>
      <c r="C110" s="44"/>
      <c r="D110" s="44"/>
      <c r="E110" s="44"/>
      <c r="F110" s="44">
        <f>1808.8+775.2+2840.2+2840.2+2586+4735+379.2+379.2+3169.2+3613.8</f>
        <v>23126.8</v>
      </c>
      <c r="G110" s="44">
        <f>2067.2+5551.3+3103.2+1518+4902</f>
        <v>17141.7</v>
      </c>
      <c r="H110" s="44"/>
      <c r="I110" s="44">
        <f>775.2+2065.6+3598.6+379.2+2234.4</f>
        <v>9053</v>
      </c>
      <c r="J110" s="44">
        <f>4121+7076.55+5457.2+877.05+701.64+5734</f>
        <v>23967.44</v>
      </c>
      <c r="K110" s="44"/>
      <c r="L110" s="44">
        <f>516.8+2323.8+2651.6+1137.6+2439.6</f>
        <v>9069.400000000001</v>
      </c>
      <c r="M110" s="44"/>
      <c r="N110" s="44"/>
      <c r="O110" s="62">
        <f>1292+3356.6+5682+758.4+4651.2</f>
        <v>15740.2</v>
      </c>
      <c r="P110" s="44"/>
      <c r="Q110" s="44"/>
      <c r="R110" s="44"/>
      <c r="S110" s="44">
        <f>1808.8+3743.9+5303.2+568.8+4582.8</f>
        <v>16007.5</v>
      </c>
      <c r="T110" s="22">
        <f>3100.8+8520.6+4525.5+9963.6</f>
        <v>26110.5</v>
      </c>
      <c r="U110" s="22"/>
      <c r="V110" s="22">
        <f>775.2+4260.3+4141.04+3465.6</f>
        <v>12642.140000000001</v>
      </c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19">
        <f t="shared" si="3"/>
        <v>152858.68</v>
      </c>
      <c r="AP110" s="20"/>
      <c r="AQ110" s="21"/>
      <c r="AR110" s="21"/>
      <c r="AS110" s="21"/>
      <c r="AT110" s="21"/>
      <c r="AU110" s="21"/>
      <c r="AV110" s="21"/>
    </row>
    <row r="111" spans="1:48" ht="16.5" thickBot="1">
      <c r="A111" s="11"/>
      <c r="B111" s="43" t="s">
        <v>100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19">
        <f t="shared" si="3"/>
        <v>0</v>
      </c>
      <c r="AP111" s="20"/>
      <c r="AQ111" s="21"/>
      <c r="AR111" s="21"/>
      <c r="AS111" s="21"/>
      <c r="AT111" s="21"/>
      <c r="AU111" s="21"/>
      <c r="AV111" s="21"/>
    </row>
    <row r="112" spans="1:48" ht="16.5" thickBot="1">
      <c r="A112" s="11"/>
      <c r="B112" s="43" t="s">
        <v>113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19">
        <f t="shared" si="3"/>
        <v>0</v>
      </c>
      <c r="AP112" s="20"/>
      <c r="AQ112" s="21"/>
      <c r="AR112" s="21"/>
      <c r="AS112" s="21"/>
      <c r="AT112" s="21"/>
      <c r="AU112" s="21"/>
      <c r="AV112" s="21"/>
    </row>
    <row r="113" spans="1:48" ht="16.5" thickBot="1">
      <c r="A113" s="11"/>
      <c r="B113" s="43" t="s">
        <v>153</v>
      </c>
      <c r="C113" s="44"/>
      <c r="D113" s="44"/>
      <c r="E113" s="44"/>
      <c r="F113" s="44">
        <f>4012</f>
        <v>4012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>
        <f>10000</f>
        <v>10000</v>
      </c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19">
        <f t="shared" si="3"/>
        <v>14012</v>
      </c>
      <c r="AP113" s="20"/>
      <c r="AQ113" s="21"/>
      <c r="AR113" s="21"/>
      <c r="AS113" s="21"/>
      <c r="AT113" s="21"/>
      <c r="AU113" s="21"/>
      <c r="AV113" s="21"/>
    </row>
    <row r="114" spans="1:48" ht="16.5" thickBot="1">
      <c r="A114" s="11"/>
      <c r="B114" s="43" t="s">
        <v>101</v>
      </c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19">
        <f t="shared" si="3"/>
        <v>0</v>
      </c>
      <c r="AP114" s="20"/>
      <c r="AQ114" s="21"/>
      <c r="AR114" s="21"/>
      <c r="AS114" s="21"/>
      <c r="AT114" s="21"/>
      <c r="AU114" s="21"/>
      <c r="AV114" s="21"/>
    </row>
    <row r="115" spans="1:48" ht="16.5" thickBot="1">
      <c r="A115" s="11"/>
      <c r="B115" s="43" t="s">
        <v>103</v>
      </c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19">
        <f t="shared" si="3"/>
        <v>0</v>
      </c>
      <c r="AP115" s="20"/>
      <c r="AQ115" s="21"/>
      <c r="AR115" s="21"/>
      <c r="AS115" s="21"/>
      <c r="AT115" s="21"/>
      <c r="AU115" s="21"/>
      <c r="AV115" s="21"/>
    </row>
    <row r="116" spans="1:48" ht="16.5" thickBot="1">
      <c r="A116" s="11"/>
      <c r="B116" s="63" t="s">
        <v>105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19">
        <f t="shared" si="3"/>
        <v>0</v>
      </c>
      <c r="AP116" s="20"/>
      <c r="AQ116" s="21"/>
      <c r="AR116" s="21"/>
      <c r="AS116" s="21"/>
      <c r="AT116" s="21"/>
      <c r="AU116" s="21"/>
      <c r="AV116" s="21"/>
    </row>
    <row r="117" spans="1:48" ht="16.5" thickBot="1">
      <c r="A117" s="11"/>
      <c r="B117" s="43" t="s">
        <v>139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19">
        <f t="shared" si="3"/>
        <v>0</v>
      </c>
      <c r="AP117" s="20"/>
      <c r="AQ117" s="21"/>
      <c r="AR117" s="21"/>
      <c r="AS117" s="21"/>
      <c r="AT117" s="21"/>
      <c r="AU117" s="21"/>
      <c r="AV117" s="21"/>
    </row>
    <row r="118" spans="1:48" ht="16.5" thickBot="1">
      <c r="A118" s="11"/>
      <c r="B118" s="43" t="s">
        <v>106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19">
        <f t="shared" si="3"/>
        <v>0</v>
      </c>
      <c r="AP118" s="20"/>
      <c r="AQ118" s="21"/>
      <c r="AR118" s="21"/>
      <c r="AS118" s="21"/>
      <c r="AT118" s="21"/>
      <c r="AU118" s="21"/>
      <c r="AV118" s="21"/>
    </row>
    <row r="119" spans="1:48" ht="16.5" thickBot="1">
      <c r="A119" s="11"/>
      <c r="B119" s="43" t="s">
        <v>141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19">
        <f t="shared" si="3"/>
        <v>0</v>
      </c>
      <c r="AP119" s="20"/>
      <c r="AQ119" s="21"/>
      <c r="AR119" s="21"/>
      <c r="AS119" s="21"/>
      <c r="AT119" s="21"/>
      <c r="AU119" s="21"/>
      <c r="AV119" s="21"/>
    </row>
    <row r="120" spans="1:48" ht="16.5" thickBot="1">
      <c r="A120" s="11"/>
      <c r="B120" s="43" t="s">
        <v>107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19">
        <f t="shared" si="3"/>
        <v>0</v>
      </c>
      <c r="AP120" s="20"/>
      <c r="AQ120" s="21"/>
      <c r="AR120" s="21"/>
      <c r="AS120" s="21"/>
      <c r="AT120" s="21"/>
      <c r="AU120" s="21"/>
      <c r="AV120" s="21"/>
    </row>
    <row r="121" spans="1:48" ht="16.5" thickBot="1">
      <c r="A121" s="11"/>
      <c r="B121" s="43" t="s">
        <v>108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19">
        <f t="shared" si="3"/>
        <v>0</v>
      </c>
      <c r="AP121" s="20"/>
      <c r="AQ121" s="21"/>
      <c r="AR121" s="21"/>
      <c r="AS121" s="21"/>
      <c r="AT121" s="21"/>
      <c r="AU121" s="21"/>
      <c r="AV121" s="21"/>
    </row>
    <row r="122" spans="1:48" ht="16.5" thickBot="1">
      <c r="A122" s="11"/>
      <c r="B122" s="43" t="s">
        <v>109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19">
        <f t="shared" si="3"/>
        <v>0</v>
      </c>
      <c r="AP122" s="20"/>
      <c r="AQ122" s="21"/>
      <c r="AR122" s="21"/>
      <c r="AS122" s="21"/>
      <c r="AT122" s="21"/>
      <c r="AU122" s="21"/>
      <c r="AV122" s="21"/>
    </row>
    <row r="123" spans="1:48" ht="16.5" thickBot="1">
      <c r="A123" s="11"/>
      <c r="B123" s="43" t="s">
        <v>111</v>
      </c>
      <c r="C123" s="44">
        <f>7129.69</f>
        <v>7129.69</v>
      </c>
      <c r="D123" s="44"/>
      <c r="E123" s="44">
        <f>8906.24</f>
        <v>8906.24</v>
      </c>
      <c r="F123" s="44">
        <f>14843.75</f>
        <v>14843.75</v>
      </c>
      <c r="G123" s="44"/>
      <c r="H123" s="44"/>
      <c r="I123" s="44"/>
      <c r="J123" s="44">
        <f>11875</f>
        <v>11875</v>
      </c>
      <c r="K123" s="44">
        <f>27303.11</f>
        <v>27303.11</v>
      </c>
      <c r="L123" s="44"/>
      <c r="M123" s="44"/>
      <c r="N123" s="44"/>
      <c r="O123" s="44"/>
      <c r="P123" s="44">
        <f>8906.56</f>
        <v>8906.56</v>
      </c>
      <c r="Q123" s="44"/>
      <c r="R123" s="44">
        <f>5953.14</f>
        <v>5953.14</v>
      </c>
      <c r="S123" s="44">
        <f>11282.8</f>
        <v>11282.8</v>
      </c>
      <c r="T123" s="22"/>
      <c r="U123" s="22"/>
      <c r="V123" s="22"/>
      <c r="W123" s="22">
        <f>8906.24</f>
        <v>8906.24</v>
      </c>
      <c r="X123" s="22">
        <f>11875</f>
        <v>11875</v>
      </c>
      <c r="Y123" s="22">
        <f>8921.57</f>
        <v>8921.57</v>
      </c>
      <c r="Z123" s="22">
        <f>5937.5</f>
        <v>5937.5</v>
      </c>
      <c r="AA123" s="22"/>
      <c r="AB123" s="22">
        <f>1184.38</f>
        <v>1184.38</v>
      </c>
      <c r="AC123" s="22"/>
      <c r="AD123" s="22">
        <f>1184.38</f>
        <v>1184.38</v>
      </c>
      <c r="AE123" s="22">
        <f>14843.76</f>
        <v>14843.76</v>
      </c>
      <c r="AF123" s="22">
        <f>11875</f>
        <v>11875</v>
      </c>
      <c r="AG123" s="22">
        <f>8906.25</f>
        <v>8906.25</v>
      </c>
      <c r="AH123" s="22"/>
      <c r="AI123" s="22"/>
      <c r="AJ123" s="22"/>
      <c r="AK123" s="22">
        <f>8290.63</f>
        <v>8290.63</v>
      </c>
      <c r="AL123" s="22"/>
      <c r="AM123" s="22">
        <f>11875</f>
        <v>11875</v>
      </c>
      <c r="AN123" s="22"/>
      <c r="AO123" s="19">
        <f t="shared" si="3"/>
        <v>190000.00000000003</v>
      </c>
      <c r="AP123" s="35"/>
      <c r="AQ123" s="21"/>
      <c r="AR123" s="21"/>
      <c r="AS123" s="21"/>
      <c r="AT123" s="21"/>
      <c r="AU123" s="21"/>
      <c r="AV123" s="21"/>
    </row>
    <row r="124" spans="1:48" ht="16.5" thickBot="1">
      <c r="A124" s="11"/>
      <c r="B124" s="43" t="s">
        <v>104</v>
      </c>
      <c r="C124" s="44">
        <v>92979.66</v>
      </c>
      <c r="D124" s="44"/>
      <c r="E124" s="44">
        <v>26900</v>
      </c>
      <c r="F124" s="44">
        <f>237614.69</f>
        <v>237614.69</v>
      </c>
      <c r="G124" s="44"/>
      <c r="H124" s="44"/>
      <c r="I124" s="44"/>
      <c r="J124" s="44">
        <f>18830</f>
        <v>18830</v>
      </c>
      <c r="K124" s="44">
        <f>20662.15</f>
        <v>20662.15</v>
      </c>
      <c r="L124" s="44">
        <f>13450</f>
        <v>13450</v>
      </c>
      <c r="M124" s="44"/>
      <c r="N124" s="44">
        <v>13450</v>
      </c>
      <c r="O124" s="44"/>
      <c r="P124" s="44">
        <f>28175.06+175628.25</f>
        <v>203803.31</v>
      </c>
      <c r="Q124" s="44"/>
      <c r="R124" s="44">
        <f>58750+32378.3+134303.96+26900</f>
        <v>252332.26</v>
      </c>
      <c r="S124" s="44">
        <f>23500</f>
        <v>23500</v>
      </c>
      <c r="T124" s="22"/>
      <c r="U124" s="22"/>
      <c r="V124" s="22"/>
      <c r="W124" s="22">
        <v>40350</v>
      </c>
      <c r="X124" s="22">
        <f>18830+41324.29</f>
        <v>60154.29</v>
      </c>
      <c r="Y124" s="22">
        <f>24210</f>
        <v>24210</v>
      </c>
      <c r="Z124" s="22">
        <f>28927+26900</f>
        <v>55827</v>
      </c>
      <c r="AA124" s="22"/>
      <c r="AB124" s="22">
        <f>21520</f>
        <v>21520</v>
      </c>
      <c r="AC124" s="22"/>
      <c r="AD124" s="22">
        <f>13450</f>
        <v>13450</v>
      </c>
      <c r="AE124" s="22"/>
      <c r="AF124" s="22"/>
      <c r="AG124" s="22">
        <f>18830</f>
        <v>18830</v>
      </c>
      <c r="AH124" s="22"/>
      <c r="AI124" s="22"/>
      <c r="AJ124" s="22"/>
      <c r="AK124" s="22">
        <v>14864.94</v>
      </c>
      <c r="AL124" s="22">
        <v>26900</v>
      </c>
      <c r="AM124" s="22"/>
      <c r="AN124" s="22"/>
      <c r="AO124" s="19">
        <f t="shared" si="3"/>
        <v>1179628.3</v>
      </c>
      <c r="AP124" s="20"/>
      <c r="AQ124" s="21"/>
      <c r="AR124" s="21"/>
      <c r="AS124" s="21"/>
      <c r="AT124" s="21"/>
      <c r="AU124" s="21"/>
      <c r="AV124" s="21"/>
    </row>
    <row r="125" spans="1:48" ht="15.75">
      <c r="A125" s="11"/>
      <c r="B125" s="43" t="s">
        <v>138</v>
      </c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19">
        <f t="shared" si="3"/>
        <v>0</v>
      </c>
      <c r="AP125" s="20"/>
      <c r="AQ125" s="21"/>
      <c r="AR125" s="21"/>
      <c r="AS125" s="21"/>
      <c r="AT125" s="21"/>
      <c r="AU125" s="21"/>
      <c r="AV125" s="21"/>
    </row>
    <row r="126" spans="1:48" ht="16.5" thickBot="1">
      <c r="A126" s="12"/>
      <c r="B126" s="64" t="s">
        <v>32</v>
      </c>
      <c r="C126" s="65">
        <f aca="true" t="shared" si="4" ref="C126:AN126">SUM(C3:C125)</f>
        <v>122034.35</v>
      </c>
      <c r="D126" s="65">
        <f t="shared" si="4"/>
        <v>97777.03</v>
      </c>
      <c r="E126" s="65">
        <f t="shared" si="4"/>
        <v>649095.49</v>
      </c>
      <c r="F126" s="65">
        <f t="shared" si="4"/>
        <v>388221.6</v>
      </c>
      <c r="G126" s="65">
        <f t="shared" si="4"/>
        <v>140143.2</v>
      </c>
      <c r="H126" s="65">
        <f t="shared" si="4"/>
        <v>78617.25</v>
      </c>
      <c r="I126" s="65">
        <f t="shared" si="4"/>
        <v>59506.25</v>
      </c>
      <c r="J126" s="65">
        <f t="shared" si="4"/>
        <v>151155.44</v>
      </c>
      <c r="K126" s="65">
        <f t="shared" si="4"/>
        <v>85216.76000000001</v>
      </c>
      <c r="L126" s="65">
        <f t="shared" si="4"/>
        <v>127940.9</v>
      </c>
      <c r="M126" s="65">
        <f t="shared" si="4"/>
        <v>37650</v>
      </c>
      <c r="N126" s="65">
        <f t="shared" si="4"/>
        <v>60374.25</v>
      </c>
      <c r="O126" s="65">
        <f t="shared" si="4"/>
        <v>57166.45</v>
      </c>
      <c r="P126" s="65">
        <f t="shared" si="4"/>
        <v>253610.37</v>
      </c>
      <c r="Q126" s="65">
        <f t="shared" si="4"/>
        <v>47702.25</v>
      </c>
      <c r="R126" s="65">
        <f t="shared" si="4"/>
        <v>282530.38</v>
      </c>
      <c r="S126" s="65">
        <f t="shared" si="4"/>
        <v>114787.59000000001</v>
      </c>
      <c r="T126" s="37">
        <f t="shared" si="4"/>
        <v>187683.5</v>
      </c>
      <c r="U126" s="37">
        <f t="shared" si="4"/>
        <v>45763.75</v>
      </c>
      <c r="V126" s="37">
        <f t="shared" si="4"/>
        <v>104296.05</v>
      </c>
      <c r="W126" s="37">
        <f t="shared" si="4"/>
        <v>55133.99</v>
      </c>
      <c r="X126" s="37">
        <f t="shared" si="4"/>
        <v>102920.54000000001</v>
      </c>
      <c r="Y126" s="37">
        <f t="shared" si="4"/>
        <v>39007.82</v>
      </c>
      <c r="Z126" s="37">
        <f t="shared" si="4"/>
        <v>125747</v>
      </c>
      <c r="AA126" s="37">
        <f t="shared" si="4"/>
        <v>2872</v>
      </c>
      <c r="AB126" s="37">
        <f t="shared" si="4"/>
        <v>26570.63</v>
      </c>
      <c r="AC126" s="37">
        <f t="shared" si="4"/>
        <v>22953</v>
      </c>
      <c r="AD126" s="37">
        <f t="shared" si="4"/>
        <v>15969.380000000001</v>
      </c>
      <c r="AE126" s="37">
        <f t="shared" si="4"/>
        <v>26280.760000000002</v>
      </c>
      <c r="AF126" s="37">
        <f t="shared" si="4"/>
        <v>13035</v>
      </c>
      <c r="AG126" s="37">
        <f t="shared" si="4"/>
        <v>451090.25</v>
      </c>
      <c r="AH126" s="37">
        <f t="shared" si="4"/>
        <v>3363</v>
      </c>
      <c r="AI126" s="37">
        <f t="shared" si="4"/>
        <v>1604</v>
      </c>
      <c r="AJ126" s="37">
        <f t="shared" si="4"/>
        <v>1030</v>
      </c>
      <c r="AK126" s="37">
        <f t="shared" si="4"/>
        <v>26751.57</v>
      </c>
      <c r="AL126" s="37">
        <f t="shared" si="4"/>
        <v>46946</v>
      </c>
      <c r="AM126" s="37">
        <f t="shared" si="4"/>
        <v>25169.5</v>
      </c>
      <c r="AN126" s="37">
        <f t="shared" si="4"/>
        <v>11275</v>
      </c>
      <c r="AO126" s="28">
        <f>SUM(AO3:AO125)</f>
        <v>4088992.3000000007</v>
      </c>
      <c r="AP126" s="38"/>
      <c r="AQ126" s="21"/>
      <c r="AR126" s="21"/>
      <c r="AS126" s="21"/>
      <c r="AT126" s="21"/>
      <c r="AU126" s="21"/>
      <c r="AV126" s="21"/>
    </row>
    <row r="127" spans="2:48" ht="15.75">
      <c r="B127" s="66"/>
      <c r="C127" s="67"/>
      <c r="D127" s="68"/>
      <c r="E127" s="68"/>
      <c r="F127" s="68"/>
      <c r="G127" s="68"/>
      <c r="H127" s="68"/>
      <c r="I127" s="68"/>
      <c r="J127" s="68"/>
      <c r="K127" s="68"/>
      <c r="L127" s="68"/>
      <c r="M127" s="67"/>
      <c r="N127" s="67"/>
      <c r="O127" s="67"/>
      <c r="P127" s="67"/>
      <c r="Q127" s="67"/>
      <c r="R127" s="67"/>
      <c r="S127" s="67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0"/>
      <c r="AP127" s="40"/>
      <c r="AQ127" s="21"/>
      <c r="AR127" s="21"/>
      <c r="AS127" s="21"/>
      <c r="AT127" s="21"/>
      <c r="AU127" s="21"/>
      <c r="AV127" s="21"/>
    </row>
    <row r="128" spans="2:48" ht="15.75">
      <c r="B128" s="69"/>
      <c r="C128" s="67"/>
      <c r="D128" s="68"/>
      <c r="E128" s="68"/>
      <c r="F128" s="68"/>
      <c r="G128" s="68"/>
      <c r="H128" s="68"/>
      <c r="I128" s="68"/>
      <c r="J128" s="68"/>
      <c r="K128" s="68"/>
      <c r="L128" s="68"/>
      <c r="M128" s="67"/>
      <c r="N128" s="67"/>
      <c r="O128" s="67"/>
      <c r="P128" s="67"/>
      <c r="Q128" s="67"/>
      <c r="R128" s="67"/>
      <c r="S128" s="67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3" t="e">
        <f>C126+D126+E126+F126+G126+H126+I126+J126+K126+L126+M126+N126+O126+P126+Q126+R126+S126+T126+U126+V126+W126+X126+Y126+Z126+AA126+AB126+AC126+AD126+AE126+AF126+AG126+AH126+AI126+AJ126+AK126+AL126+AM126+AN126+#REF!+#REF!+#REF!+#REF!+#REF!+#REF!</f>
        <v>#REF!</v>
      </c>
      <c r="AP128" s="40"/>
      <c r="AQ128" s="21"/>
      <c r="AR128" s="21"/>
      <c r="AS128" s="21"/>
      <c r="AT128" s="21"/>
      <c r="AU128" s="21"/>
      <c r="AV128" s="21"/>
    </row>
    <row r="129" spans="2:48" ht="15.75">
      <c r="B129" s="69"/>
      <c r="C129" s="70"/>
      <c r="D129" s="71"/>
      <c r="E129" s="71"/>
      <c r="F129" s="71"/>
      <c r="G129" s="71"/>
      <c r="H129" s="71"/>
      <c r="I129" s="71"/>
      <c r="J129" s="71"/>
      <c r="K129" s="71"/>
      <c r="L129" s="71"/>
      <c r="M129" s="70"/>
      <c r="N129" s="70"/>
      <c r="O129" s="70"/>
      <c r="P129" s="70"/>
      <c r="Q129" s="70"/>
      <c r="R129" s="70"/>
      <c r="S129" s="70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34" t="e">
        <f>AO126-AO128</f>
        <v>#REF!</v>
      </c>
      <c r="AP129" s="31"/>
      <c r="AQ129" s="21"/>
      <c r="AR129" s="21"/>
      <c r="AS129" s="21"/>
      <c r="AT129" s="21"/>
      <c r="AU129" s="21"/>
      <c r="AV129" s="21"/>
    </row>
    <row r="130" spans="2:48" ht="15.75"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34"/>
      <c r="AP130" s="31"/>
      <c r="AQ130" s="21"/>
      <c r="AR130" s="21"/>
      <c r="AS130" s="21"/>
      <c r="AT130" s="21"/>
      <c r="AU130" s="21"/>
      <c r="AV130" s="21"/>
    </row>
    <row r="131" spans="2:48" ht="15.75"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30"/>
      <c r="AP131" s="31"/>
      <c r="AQ131" s="21"/>
      <c r="AR131" s="21"/>
      <c r="AS131" s="21"/>
      <c r="AT131" s="21"/>
      <c r="AU131" s="21"/>
      <c r="AV131" s="21"/>
    </row>
    <row r="132" spans="2:48" ht="15.75"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30"/>
      <c r="AP132" s="31"/>
      <c r="AQ132" s="21"/>
      <c r="AR132" s="21"/>
      <c r="AS132" s="21"/>
      <c r="AT132" s="21"/>
      <c r="AU132" s="21"/>
      <c r="AV132" s="21"/>
    </row>
    <row r="133" spans="2:48" ht="15.75"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30"/>
      <c r="AP133" s="31"/>
      <c r="AQ133" s="21"/>
      <c r="AR133" s="21"/>
      <c r="AS133" s="21"/>
      <c r="AT133" s="21"/>
      <c r="AU133" s="21"/>
      <c r="AV133" s="21"/>
    </row>
    <row r="134" spans="2:48" ht="15.75">
      <c r="B134" s="69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30"/>
      <c r="AP134" s="31"/>
      <c r="AQ134" s="21"/>
      <c r="AR134" s="21"/>
      <c r="AS134" s="21"/>
      <c r="AT134" s="21"/>
      <c r="AU134" s="21"/>
      <c r="AV134" s="21"/>
    </row>
    <row r="135" spans="2:48" ht="15.75"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30"/>
      <c r="AP135" s="31"/>
      <c r="AQ135" s="21"/>
      <c r="AR135" s="21"/>
      <c r="AS135" s="21"/>
      <c r="AT135" s="21"/>
      <c r="AU135" s="21"/>
      <c r="AV135" s="21"/>
    </row>
    <row r="136" spans="2:48" ht="15.75"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30"/>
      <c r="AP136" s="31"/>
      <c r="AQ136" s="21"/>
      <c r="AR136" s="21"/>
      <c r="AS136" s="21"/>
      <c r="AT136" s="21"/>
      <c r="AU136" s="21"/>
      <c r="AV136" s="21"/>
    </row>
    <row r="137" spans="2:48" ht="15.75">
      <c r="B137" s="69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30"/>
      <c r="AP137" s="31"/>
      <c r="AQ137" s="21"/>
      <c r="AR137" s="21"/>
      <c r="AS137" s="21"/>
      <c r="AT137" s="21"/>
      <c r="AU137" s="21"/>
      <c r="AV137" s="21"/>
    </row>
    <row r="138" spans="1:48" ht="15.75">
      <c r="A138" s="7"/>
      <c r="B138" s="72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1"/>
      <c r="AQ138" s="21"/>
      <c r="AR138" s="21"/>
      <c r="AS138" s="21"/>
      <c r="AT138" s="21"/>
      <c r="AU138" s="21"/>
      <c r="AV138" s="21"/>
    </row>
    <row r="139" spans="1:48" ht="15.75">
      <c r="A139" s="7"/>
      <c r="B139" s="72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1"/>
      <c r="AQ139" s="21"/>
      <c r="AR139" s="21"/>
      <c r="AS139" s="21"/>
      <c r="AT139" s="21"/>
      <c r="AU139" s="21"/>
      <c r="AV139" s="21"/>
    </row>
    <row r="140" spans="1:48" ht="15.75">
      <c r="A140" s="7"/>
      <c r="B140" s="72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1"/>
      <c r="AQ140" s="21"/>
      <c r="AR140" s="21"/>
      <c r="AS140" s="21"/>
      <c r="AT140" s="21"/>
      <c r="AU140" s="21"/>
      <c r="AV140" s="21"/>
    </row>
    <row r="141" spans="2:48" ht="15.75"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30"/>
      <c r="AP141" s="31"/>
      <c r="AQ141" s="21"/>
      <c r="AR141" s="21"/>
      <c r="AS141" s="21"/>
      <c r="AT141" s="21"/>
      <c r="AU141" s="21"/>
      <c r="AV141" s="21"/>
    </row>
    <row r="142" spans="2:48" ht="15.75"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30"/>
      <c r="AP142" s="31"/>
      <c r="AQ142" s="21"/>
      <c r="AR142" s="21"/>
      <c r="AS142" s="21"/>
      <c r="AT142" s="21"/>
      <c r="AU142" s="21"/>
      <c r="AV142" s="21"/>
    </row>
    <row r="143" spans="2:48" ht="15.75"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30"/>
      <c r="AP143" s="31"/>
      <c r="AQ143" s="21"/>
      <c r="AR143" s="21"/>
      <c r="AS143" s="21"/>
      <c r="AT143" s="21"/>
      <c r="AU143" s="21"/>
      <c r="AV143" s="21"/>
    </row>
    <row r="144" spans="2:48" ht="15.75">
      <c r="B144" s="69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30"/>
      <c r="AP144" s="31"/>
      <c r="AQ144" s="21"/>
      <c r="AR144" s="21"/>
      <c r="AS144" s="21"/>
      <c r="AT144" s="21"/>
      <c r="AU144" s="21"/>
      <c r="AV144" s="21"/>
    </row>
    <row r="145" spans="2:48" ht="15.75">
      <c r="B145" s="69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30"/>
      <c r="AP145" s="31"/>
      <c r="AQ145" s="21"/>
      <c r="AR145" s="21"/>
      <c r="AS145" s="21"/>
      <c r="AT145" s="21"/>
      <c r="AU145" s="21"/>
      <c r="AV145" s="21"/>
    </row>
    <row r="146" spans="2:48" ht="15.75">
      <c r="B146" s="69"/>
      <c r="C146" s="73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30"/>
      <c r="AP146" s="31"/>
      <c r="AQ146" s="21"/>
      <c r="AR146" s="21"/>
      <c r="AS146" s="21"/>
      <c r="AT146" s="21"/>
      <c r="AU146" s="21"/>
      <c r="AV146" s="21"/>
    </row>
    <row r="147" spans="2:48" ht="15.75">
      <c r="B147" s="74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30"/>
      <c r="AP147" s="31"/>
      <c r="AQ147" s="21"/>
      <c r="AR147" s="21"/>
      <c r="AS147" s="21"/>
      <c r="AT147" s="21"/>
      <c r="AU147" s="21"/>
      <c r="AV147" s="21"/>
    </row>
    <row r="148" spans="2:48" ht="15.75">
      <c r="B148" s="75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30"/>
      <c r="AP148" s="31"/>
      <c r="AQ148" s="21"/>
      <c r="AR148" s="21"/>
      <c r="AS148" s="21"/>
      <c r="AT148" s="21"/>
      <c r="AU148" s="21"/>
      <c r="AV148" s="21"/>
    </row>
    <row r="149" spans="2:48" ht="15.75">
      <c r="B149" s="74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30"/>
      <c r="AP149" s="31"/>
      <c r="AQ149" s="21"/>
      <c r="AR149" s="21"/>
      <c r="AS149" s="21"/>
      <c r="AT149" s="21"/>
      <c r="AU149" s="21"/>
      <c r="AV149" s="21"/>
    </row>
    <row r="150" spans="2:48" ht="15.75">
      <c r="B150" s="74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30"/>
      <c r="AP150" s="31"/>
      <c r="AQ150" s="21"/>
      <c r="AR150" s="21"/>
      <c r="AS150" s="21"/>
      <c r="AT150" s="21"/>
      <c r="AU150" s="21"/>
      <c r="AV150" s="21"/>
    </row>
    <row r="151" spans="2:48" ht="15.75">
      <c r="B151" s="76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30"/>
      <c r="AP151" s="31"/>
      <c r="AQ151" s="21"/>
      <c r="AR151" s="21"/>
      <c r="AS151" s="21"/>
      <c r="AT151" s="21"/>
      <c r="AU151" s="21"/>
      <c r="AV151" s="21"/>
    </row>
    <row r="152" spans="2:48" ht="15.75">
      <c r="B152" s="74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30"/>
      <c r="AP152" s="31"/>
      <c r="AQ152" s="21"/>
      <c r="AR152" s="21"/>
      <c r="AS152" s="21"/>
      <c r="AT152" s="21"/>
      <c r="AU152" s="21"/>
      <c r="AV152" s="21"/>
    </row>
    <row r="153" spans="2:48" ht="15.75"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30"/>
      <c r="AP153" s="31"/>
      <c r="AQ153" s="21"/>
      <c r="AR153" s="21"/>
      <c r="AS153" s="21"/>
      <c r="AT153" s="21"/>
      <c r="AU153" s="21"/>
      <c r="AV153" s="21"/>
    </row>
    <row r="154" spans="2:48" ht="15.75"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30"/>
      <c r="AP154" s="31"/>
      <c r="AQ154" s="21"/>
      <c r="AR154" s="21"/>
      <c r="AS154" s="21"/>
      <c r="AT154" s="21"/>
      <c r="AU154" s="21"/>
      <c r="AV154" s="21"/>
    </row>
    <row r="155" spans="2:48" ht="15.75">
      <c r="B155" s="69"/>
      <c r="C155" s="77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30"/>
      <c r="AP155" s="31"/>
      <c r="AQ155" s="21"/>
      <c r="AR155" s="21"/>
      <c r="AS155" s="21"/>
      <c r="AT155" s="21"/>
      <c r="AU155" s="21"/>
      <c r="AV155" s="21"/>
    </row>
    <row r="156" spans="2:48" ht="15.75"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30"/>
      <c r="AP156" s="31"/>
      <c r="AQ156" s="21"/>
      <c r="AR156" s="21"/>
      <c r="AS156" s="21"/>
      <c r="AT156" s="21"/>
      <c r="AU156" s="21"/>
      <c r="AV156" s="21"/>
    </row>
    <row r="157" spans="2:48" ht="15.75">
      <c r="B157" s="69"/>
      <c r="C157" s="78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30"/>
      <c r="AP157" s="31"/>
      <c r="AQ157" s="21"/>
      <c r="AR157" s="21"/>
      <c r="AS157" s="21"/>
      <c r="AT157" s="21"/>
      <c r="AU157" s="21"/>
      <c r="AV157" s="21"/>
    </row>
    <row r="158" spans="2:48" ht="15.75"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30"/>
      <c r="AP158" s="31"/>
      <c r="AQ158" s="21"/>
      <c r="AR158" s="21"/>
      <c r="AS158" s="21"/>
      <c r="AT158" s="21"/>
      <c r="AU158" s="21"/>
      <c r="AV158" s="21"/>
    </row>
    <row r="159" spans="2:48" ht="15.75"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30"/>
      <c r="AP159" s="31"/>
      <c r="AQ159" s="21"/>
      <c r="AR159" s="21"/>
      <c r="AS159" s="21"/>
      <c r="AT159" s="21"/>
      <c r="AU159" s="21"/>
      <c r="AV159" s="21"/>
    </row>
    <row r="160" spans="2:48" ht="15.75">
      <c r="B160" s="79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30"/>
      <c r="AP160" s="31"/>
      <c r="AQ160" s="21"/>
      <c r="AR160" s="21"/>
      <c r="AS160" s="21"/>
      <c r="AT160" s="21"/>
      <c r="AU160" s="21"/>
      <c r="AV160" s="21"/>
    </row>
    <row r="161" spans="2:48" ht="15.75">
      <c r="B161" s="69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30"/>
      <c r="AP161" s="31"/>
      <c r="AQ161" s="21"/>
      <c r="AR161" s="21"/>
      <c r="AS161" s="21"/>
      <c r="AT161" s="21"/>
      <c r="AU161" s="21"/>
      <c r="AV161" s="21"/>
    </row>
    <row r="162" spans="2:48" ht="15.75">
      <c r="B162" s="69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30"/>
      <c r="AP162" s="31"/>
      <c r="AQ162" s="21"/>
      <c r="AR162" s="21"/>
      <c r="AS162" s="21"/>
      <c r="AT162" s="21"/>
      <c r="AU162" s="21"/>
      <c r="AV162" s="21"/>
    </row>
    <row r="163" spans="2:48" ht="15.75"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30"/>
      <c r="AP163" s="31"/>
      <c r="AQ163" s="21"/>
      <c r="AR163" s="21"/>
      <c r="AS163" s="21"/>
      <c r="AT163" s="21"/>
      <c r="AU163" s="21"/>
      <c r="AV163" s="21"/>
    </row>
    <row r="164" spans="2:48" ht="15.75">
      <c r="B164" s="69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30"/>
      <c r="AP164" s="31"/>
      <c r="AQ164" s="21"/>
      <c r="AR164" s="21"/>
      <c r="AS164" s="21"/>
      <c r="AT164" s="21"/>
      <c r="AU164" s="21"/>
      <c r="AV164" s="21"/>
    </row>
    <row r="165" spans="2:48" ht="15.75">
      <c r="B165" s="32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30"/>
      <c r="AP165" s="31"/>
      <c r="AQ165" s="21"/>
      <c r="AR165" s="21"/>
      <c r="AS165" s="21"/>
      <c r="AT165" s="21"/>
      <c r="AU165" s="21"/>
      <c r="AV165" s="21"/>
    </row>
    <row r="166" spans="2:48" ht="15.75">
      <c r="B166" s="32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30"/>
      <c r="AP166" s="31"/>
      <c r="AQ166" s="21"/>
      <c r="AR166" s="21"/>
      <c r="AS166" s="21"/>
      <c r="AT166" s="21"/>
      <c r="AU166" s="21"/>
      <c r="AV166" s="21"/>
    </row>
    <row r="167" spans="2:48" ht="15.75">
      <c r="B167" s="32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30"/>
      <c r="AP167" s="31"/>
      <c r="AQ167" s="21"/>
      <c r="AR167" s="21"/>
      <c r="AS167" s="21"/>
      <c r="AT167" s="21"/>
      <c r="AU167" s="21"/>
      <c r="AV167" s="21"/>
    </row>
    <row r="168" spans="2:48" ht="15.75">
      <c r="B168" s="32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30"/>
      <c r="AP168" s="31"/>
      <c r="AQ168" s="21"/>
      <c r="AR168" s="21"/>
      <c r="AS168" s="21"/>
      <c r="AT168" s="21"/>
      <c r="AU168" s="21"/>
      <c r="AV168" s="21"/>
    </row>
    <row r="169" spans="2:48" ht="15.75">
      <c r="B169" s="32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30"/>
      <c r="AP169" s="31"/>
      <c r="AQ169" s="21"/>
      <c r="AR169" s="21"/>
      <c r="AS169" s="21"/>
      <c r="AT169" s="21"/>
      <c r="AU169" s="21"/>
      <c r="AV169" s="21"/>
    </row>
    <row r="170" spans="2:48" ht="15.75">
      <c r="B170" s="32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30"/>
      <c r="AP170" s="31"/>
      <c r="AQ170" s="21"/>
      <c r="AR170" s="21"/>
      <c r="AS170" s="21"/>
      <c r="AT170" s="21"/>
      <c r="AU170" s="21"/>
      <c r="AV170" s="21"/>
    </row>
    <row r="171" spans="2:48" ht="15.75">
      <c r="B171" s="32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30"/>
      <c r="AP171" s="31"/>
      <c r="AQ171" s="21"/>
      <c r="AR171" s="21"/>
      <c r="AS171" s="21"/>
      <c r="AT171" s="21"/>
      <c r="AU171" s="21"/>
      <c r="AV171" s="21"/>
    </row>
    <row r="172" spans="2:48" ht="15.75">
      <c r="B172" s="32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30"/>
      <c r="AP172" s="31"/>
      <c r="AQ172" s="21"/>
      <c r="AR172" s="21"/>
      <c r="AS172" s="21"/>
      <c r="AT172" s="21"/>
      <c r="AU172" s="21"/>
      <c r="AV172" s="21"/>
    </row>
    <row r="173" spans="2:48" ht="15.75">
      <c r="B173" s="32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30"/>
      <c r="AP173" s="31"/>
      <c r="AQ173" s="21"/>
      <c r="AR173" s="21"/>
      <c r="AS173" s="21"/>
      <c r="AT173" s="21"/>
      <c r="AU173" s="21"/>
      <c r="AV173" s="21"/>
    </row>
    <row r="174" spans="2:48" ht="15.75">
      <c r="B174" s="32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30"/>
      <c r="AP174" s="31"/>
      <c r="AQ174" s="21"/>
      <c r="AR174" s="21"/>
      <c r="AS174" s="21"/>
      <c r="AT174" s="21"/>
      <c r="AU174" s="21"/>
      <c r="AV174" s="21"/>
    </row>
    <row r="175" spans="2:48" ht="15.75">
      <c r="B175" s="32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30"/>
      <c r="AP175" s="31"/>
      <c r="AQ175" s="21"/>
      <c r="AR175" s="21"/>
      <c r="AS175" s="21"/>
      <c r="AT175" s="21"/>
      <c r="AU175" s="21"/>
      <c r="AV175" s="21"/>
    </row>
    <row r="176" spans="2:48" ht="15.75">
      <c r="B176" s="32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30"/>
      <c r="AP176" s="31"/>
      <c r="AQ176" s="21"/>
      <c r="AR176" s="21"/>
      <c r="AS176" s="21"/>
      <c r="AT176" s="21"/>
      <c r="AU176" s="21"/>
      <c r="AV176" s="21"/>
    </row>
    <row r="177" spans="2:48" ht="15.75">
      <c r="B177" s="32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30"/>
      <c r="AP177" s="31"/>
      <c r="AQ177" s="21"/>
      <c r="AR177" s="21"/>
      <c r="AS177" s="21"/>
      <c r="AT177" s="21"/>
      <c r="AU177" s="21"/>
      <c r="AV177" s="21"/>
    </row>
    <row r="178" spans="2:48" ht="15.75">
      <c r="B178" s="32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30"/>
      <c r="AP178" s="31"/>
      <c r="AQ178" s="21"/>
      <c r="AR178" s="21"/>
      <c r="AS178" s="21"/>
      <c r="AT178" s="21"/>
      <c r="AU178" s="21"/>
      <c r="AV178" s="21"/>
    </row>
    <row r="179" spans="2:48" ht="15.75">
      <c r="B179" s="32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30"/>
      <c r="AP179" s="31"/>
      <c r="AQ179" s="21"/>
      <c r="AR179" s="21"/>
      <c r="AS179" s="21"/>
      <c r="AT179" s="21"/>
      <c r="AU179" s="21"/>
      <c r="AV179" s="21"/>
    </row>
    <row r="180" spans="2:48" ht="15.75">
      <c r="B180" s="32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30"/>
      <c r="AP180" s="31"/>
      <c r="AQ180" s="21"/>
      <c r="AR180" s="21"/>
      <c r="AS180" s="21"/>
      <c r="AT180" s="21"/>
      <c r="AU180" s="21"/>
      <c r="AV180" s="21"/>
    </row>
    <row r="181" spans="2:48" ht="15.75">
      <c r="B181" s="32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30"/>
      <c r="AP181" s="31"/>
      <c r="AQ181" s="21"/>
      <c r="AR181" s="21"/>
      <c r="AS181" s="21"/>
      <c r="AT181" s="21"/>
      <c r="AU181" s="21"/>
      <c r="AV181" s="21"/>
    </row>
    <row r="182" spans="2:48" ht="15.75">
      <c r="B182" s="32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30"/>
      <c r="AP182" s="31"/>
      <c r="AQ182" s="21"/>
      <c r="AR182" s="21"/>
      <c r="AS182" s="21"/>
      <c r="AT182" s="21"/>
      <c r="AU182" s="21"/>
      <c r="AV182" s="21"/>
    </row>
    <row r="183" spans="2:48" ht="15.75">
      <c r="B183" s="32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30"/>
      <c r="AP183" s="31"/>
      <c r="AQ183" s="21"/>
      <c r="AR183" s="21"/>
      <c r="AS183" s="21"/>
      <c r="AT183" s="21"/>
      <c r="AU183" s="21"/>
      <c r="AV183" s="21"/>
    </row>
    <row r="184" spans="2:48" ht="15.75">
      <c r="B184" s="32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30"/>
      <c r="AP184" s="31"/>
      <c r="AQ184" s="21"/>
      <c r="AR184" s="21"/>
      <c r="AS184" s="21"/>
      <c r="AT184" s="21"/>
      <c r="AU184" s="21"/>
      <c r="AV184" s="21"/>
    </row>
    <row r="185" spans="2:48" ht="15.75">
      <c r="B185" s="32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30"/>
      <c r="AP185" s="31"/>
      <c r="AQ185" s="21"/>
      <c r="AR185" s="21"/>
      <c r="AS185" s="21"/>
      <c r="AT185" s="21"/>
      <c r="AU185" s="21"/>
      <c r="AV185" s="21"/>
    </row>
    <row r="186" spans="2:48" ht="15.75">
      <c r="B186" s="32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30"/>
      <c r="AP186" s="31"/>
      <c r="AQ186" s="21"/>
      <c r="AR186" s="21"/>
      <c r="AS186" s="21"/>
      <c r="AT186" s="21"/>
      <c r="AU186" s="21"/>
      <c r="AV186" s="21"/>
    </row>
    <row r="187" spans="2:48" ht="15.75">
      <c r="B187" s="32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30"/>
      <c r="AP187" s="31"/>
      <c r="AQ187" s="21"/>
      <c r="AR187" s="21"/>
      <c r="AS187" s="21"/>
      <c r="AT187" s="21"/>
      <c r="AU187" s="21"/>
      <c r="AV187" s="21"/>
    </row>
    <row r="188" spans="2:48" ht="15.75">
      <c r="B188" s="32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30"/>
      <c r="AP188" s="31"/>
      <c r="AQ188" s="21"/>
      <c r="AR188" s="21"/>
      <c r="AS188" s="21"/>
      <c r="AT188" s="21"/>
      <c r="AU188" s="21"/>
      <c r="AV188" s="21"/>
    </row>
    <row r="189" spans="2:48" ht="15.75">
      <c r="B189" s="32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30"/>
      <c r="AP189" s="31"/>
      <c r="AQ189" s="21"/>
      <c r="AR189" s="21"/>
      <c r="AS189" s="21"/>
      <c r="AT189" s="21"/>
      <c r="AU189" s="21"/>
      <c r="AV189" s="21"/>
    </row>
    <row r="190" spans="2:48" ht="15.75">
      <c r="B190" s="32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30"/>
      <c r="AP190" s="31"/>
      <c r="AQ190" s="21"/>
      <c r="AR190" s="21"/>
      <c r="AS190" s="21"/>
      <c r="AT190" s="21"/>
      <c r="AU190" s="21"/>
      <c r="AV190" s="21"/>
    </row>
    <row r="191" spans="2:48" ht="15.75">
      <c r="B191" s="32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30"/>
      <c r="AP191" s="31"/>
      <c r="AQ191" s="21"/>
      <c r="AR191" s="21"/>
      <c r="AS191" s="21"/>
      <c r="AT191" s="21"/>
      <c r="AU191" s="21"/>
      <c r="AV191" s="21"/>
    </row>
    <row r="192" spans="2:48" ht="15.75">
      <c r="B192" s="32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30"/>
      <c r="AP192" s="31"/>
      <c r="AQ192" s="21"/>
      <c r="AR192" s="21"/>
      <c r="AS192" s="21"/>
      <c r="AT192" s="21"/>
      <c r="AU192" s="21"/>
      <c r="AV192" s="21"/>
    </row>
    <row r="193" spans="2:48" ht="15.75">
      <c r="B193" s="32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30"/>
      <c r="AP193" s="31"/>
      <c r="AQ193" s="21"/>
      <c r="AR193" s="21"/>
      <c r="AS193" s="21"/>
      <c r="AT193" s="21"/>
      <c r="AU193" s="21"/>
      <c r="AV193" s="21"/>
    </row>
    <row r="194" spans="2:48" ht="15.75">
      <c r="B194" s="32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30"/>
      <c r="AP194" s="31"/>
      <c r="AQ194" s="21"/>
      <c r="AR194" s="21"/>
      <c r="AS194" s="21"/>
      <c r="AT194" s="21"/>
      <c r="AU194" s="21"/>
      <c r="AV194" s="21"/>
    </row>
    <row r="195" spans="2:48" ht="15.75">
      <c r="B195" s="32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30"/>
      <c r="AP195" s="31"/>
      <c r="AQ195" s="21"/>
      <c r="AR195" s="21"/>
      <c r="AS195" s="21"/>
      <c r="AT195" s="21"/>
      <c r="AU195" s="21"/>
      <c r="AV195" s="21"/>
    </row>
    <row r="196" spans="2:48" ht="15.75">
      <c r="B196" s="32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30"/>
      <c r="AP196" s="31"/>
      <c r="AQ196" s="21"/>
      <c r="AR196" s="21"/>
      <c r="AS196" s="21"/>
      <c r="AT196" s="21"/>
      <c r="AU196" s="21"/>
      <c r="AV196" s="21"/>
    </row>
    <row r="197" spans="2:48" ht="15.75">
      <c r="B197" s="32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30"/>
      <c r="AP197" s="31"/>
      <c r="AQ197" s="21"/>
      <c r="AR197" s="21"/>
      <c r="AS197" s="21"/>
      <c r="AT197" s="21"/>
      <c r="AU197" s="21"/>
      <c r="AV197" s="21"/>
    </row>
    <row r="198" spans="2:48" ht="15.75">
      <c r="B198" s="32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30"/>
      <c r="AP198" s="31"/>
      <c r="AQ198" s="21"/>
      <c r="AR198" s="21"/>
      <c r="AS198" s="21"/>
      <c r="AT198" s="21"/>
      <c r="AU198" s="21"/>
      <c r="AV198" s="21"/>
    </row>
    <row r="199" spans="2:48" ht="15.75">
      <c r="B199" s="32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30"/>
      <c r="AP199" s="31"/>
      <c r="AQ199" s="21"/>
      <c r="AR199" s="21"/>
      <c r="AS199" s="21"/>
      <c r="AT199" s="21"/>
      <c r="AU199" s="21"/>
      <c r="AV199" s="21"/>
    </row>
    <row r="200" spans="2:48" ht="15.75">
      <c r="B200" s="32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30"/>
      <c r="AP200" s="31"/>
      <c r="AQ200" s="21"/>
      <c r="AR200" s="21"/>
      <c r="AS200" s="21"/>
      <c r="AT200" s="21"/>
      <c r="AU200" s="21"/>
      <c r="AV200" s="21"/>
    </row>
    <row r="201" spans="2:48" ht="15.75">
      <c r="B201" s="32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30"/>
      <c r="AP201" s="31"/>
      <c r="AQ201" s="21"/>
      <c r="AR201" s="21"/>
      <c r="AS201" s="21"/>
      <c r="AT201" s="21"/>
      <c r="AU201" s="21"/>
      <c r="AV201" s="21"/>
    </row>
    <row r="202" spans="2:48" ht="15.75">
      <c r="B202" s="32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30"/>
      <c r="AP202" s="31"/>
      <c r="AQ202" s="21"/>
      <c r="AR202" s="21"/>
      <c r="AS202" s="21"/>
      <c r="AT202" s="21"/>
      <c r="AU202" s="21"/>
      <c r="AV202" s="21"/>
    </row>
    <row r="203" spans="2:48" ht="15.75">
      <c r="B203" s="32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30"/>
      <c r="AP203" s="31"/>
      <c r="AQ203" s="21"/>
      <c r="AR203" s="21"/>
      <c r="AS203" s="21"/>
      <c r="AT203" s="21"/>
      <c r="AU203" s="21"/>
      <c r="AV203" s="21"/>
    </row>
    <row r="204" spans="2:48" ht="15.75">
      <c r="B204" s="32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30"/>
      <c r="AP204" s="31"/>
      <c r="AQ204" s="21"/>
      <c r="AR204" s="21"/>
      <c r="AS204" s="21"/>
      <c r="AT204" s="21"/>
      <c r="AU204" s="21"/>
      <c r="AV204" s="21"/>
    </row>
    <row r="205" spans="2:48" ht="15.75">
      <c r="B205" s="32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30"/>
      <c r="AP205" s="31"/>
      <c r="AQ205" s="21"/>
      <c r="AR205" s="21"/>
      <c r="AS205" s="21"/>
      <c r="AT205" s="21"/>
      <c r="AU205" s="21"/>
      <c r="AV205" s="21"/>
    </row>
    <row r="206" spans="2:48" ht="15.75">
      <c r="B206" s="32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30"/>
      <c r="AP206" s="31"/>
      <c r="AQ206" s="21"/>
      <c r="AR206" s="21"/>
      <c r="AS206" s="21"/>
      <c r="AT206" s="21"/>
      <c r="AU206" s="21"/>
      <c r="AV206" s="21"/>
    </row>
    <row r="207" spans="2:48" ht="15.75">
      <c r="B207" s="32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30"/>
      <c r="AP207" s="31"/>
      <c r="AQ207" s="21"/>
      <c r="AR207" s="21"/>
      <c r="AS207" s="21"/>
      <c r="AT207" s="21"/>
      <c r="AU207" s="21"/>
      <c r="AV207" s="21"/>
    </row>
    <row r="208" spans="2:48" ht="15.75">
      <c r="B208" s="32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30"/>
      <c r="AP208" s="31"/>
      <c r="AQ208" s="21"/>
      <c r="AR208" s="21"/>
      <c r="AS208" s="21"/>
      <c r="AT208" s="21"/>
      <c r="AU208" s="21"/>
      <c r="AV208" s="21"/>
    </row>
    <row r="209" spans="2:48" ht="15.75">
      <c r="B209" s="32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30"/>
      <c r="AP209" s="31"/>
      <c r="AQ209" s="21"/>
      <c r="AR209" s="21"/>
      <c r="AS209" s="21"/>
      <c r="AT209" s="21"/>
      <c r="AU209" s="21"/>
      <c r="AV209" s="21"/>
    </row>
    <row r="210" spans="2:48" ht="15.75">
      <c r="B210" s="32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30"/>
      <c r="AP210" s="31"/>
      <c r="AQ210" s="21"/>
      <c r="AR210" s="21"/>
      <c r="AS210" s="21"/>
      <c r="AT210" s="21"/>
      <c r="AU210" s="21"/>
      <c r="AV210" s="21"/>
    </row>
    <row r="211" spans="2:48" ht="15.75">
      <c r="B211" s="32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30"/>
      <c r="AP211" s="31"/>
      <c r="AQ211" s="21"/>
      <c r="AR211" s="21"/>
      <c r="AS211" s="21"/>
      <c r="AT211" s="21"/>
      <c r="AU211" s="21"/>
      <c r="AV211" s="21"/>
    </row>
    <row r="212" spans="2:48" ht="15.75">
      <c r="B212" s="32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30"/>
      <c r="AP212" s="31"/>
      <c r="AQ212" s="21"/>
      <c r="AR212" s="21"/>
      <c r="AS212" s="21"/>
      <c r="AT212" s="21"/>
      <c r="AU212" s="21"/>
      <c r="AV212" s="21"/>
    </row>
    <row r="213" spans="2:48" ht="15.75">
      <c r="B213" s="32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30"/>
      <c r="AP213" s="31"/>
      <c r="AQ213" s="21"/>
      <c r="AR213" s="21"/>
      <c r="AS213" s="21"/>
      <c r="AT213" s="21"/>
      <c r="AU213" s="21"/>
      <c r="AV213" s="21"/>
    </row>
    <row r="214" spans="2:48" ht="15.75">
      <c r="B214" s="32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30"/>
      <c r="AP214" s="31"/>
      <c r="AQ214" s="21"/>
      <c r="AR214" s="21"/>
      <c r="AS214" s="21"/>
      <c r="AT214" s="21"/>
      <c r="AU214" s="21"/>
      <c r="AV214" s="21"/>
    </row>
    <row r="215" spans="2:48" ht="15.75">
      <c r="B215" s="32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30"/>
      <c r="AP215" s="31"/>
      <c r="AQ215" s="21"/>
      <c r="AR215" s="21"/>
      <c r="AS215" s="21"/>
      <c r="AT215" s="21"/>
      <c r="AU215" s="21"/>
      <c r="AV215" s="21"/>
    </row>
    <row r="216" spans="2:48" ht="15.75">
      <c r="B216" s="32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30"/>
      <c r="AP216" s="31"/>
      <c r="AQ216" s="21"/>
      <c r="AR216" s="21"/>
      <c r="AS216" s="21"/>
      <c r="AT216" s="21"/>
      <c r="AU216" s="21"/>
      <c r="AV216" s="21"/>
    </row>
    <row r="217" spans="2:48" ht="15.75">
      <c r="B217" s="32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30"/>
      <c r="AP217" s="31"/>
      <c r="AQ217" s="21"/>
      <c r="AR217" s="21"/>
      <c r="AS217" s="21"/>
      <c r="AT217" s="21"/>
      <c r="AU217" s="21"/>
      <c r="AV217" s="21"/>
    </row>
    <row r="218" spans="2:48" ht="15.75">
      <c r="B218" s="32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30"/>
      <c r="AP218" s="31"/>
      <c r="AQ218" s="21"/>
      <c r="AR218" s="21"/>
      <c r="AS218" s="21"/>
      <c r="AT218" s="21"/>
      <c r="AU218" s="21"/>
      <c r="AV218" s="21"/>
    </row>
    <row r="219" spans="2:48" ht="15.75">
      <c r="B219" s="32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30"/>
      <c r="AP219" s="31"/>
      <c r="AQ219" s="21"/>
      <c r="AR219" s="21"/>
      <c r="AS219" s="21"/>
      <c r="AT219" s="21"/>
      <c r="AU219" s="21"/>
      <c r="AV219" s="21"/>
    </row>
    <row r="220" spans="2:48" ht="15.75">
      <c r="B220" s="32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30"/>
      <c r="AP220" s="31"/>
      <c r="AQ220" s="21"/>
      <c r="AR220" s="21"/>
      <c r="AS220" s="21"/>
      <c r="AT220" s="21"/>
      <c r="AU220" s="21"/>
      <c r="AV220" s="21"/>
    </row>
    <row r="221" spans="2:48" ht="15.75">
      <c r="B221" s="32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30"/>
      <c r="AP221" s="31"/>
      <c r="AQ221" s="21"/>
      <c r="AR221" s="21"/>
      <c r="AS221" s="21"/>
      <c r="AT221" s="21"/>
      <c r="AU221" s="21"/>
      <c r="AV221" s="21"/>
    </row>
    <row r="222" spans="2:48" ht="15.75">
      <c r="B222" s="32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30"/>
      <c r="AP222" s="31"/>
      <c r="AQ222" s="21"/>
      <c r="AR222" s="21"/>
      <c r="AS222" s="21"/>
      <c r="AT222" s="21"/>
      <c r="AU222" s="21"/>
      <c r="AV222" s="21"/>
    </row>
    <row r="223" spans="2:48" ht="15.75">
      <c r="B223" s="32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30"/>
      <c r="AP223" s="31"/>
      <c r="AQ223" s="21"/>
      <c r="AR223" s="21"/>
      <c r="AS223" s="21"/>
      <c r="AT223" s="21"/>
      <c r="AU223" s="21"/>
      <c r="AV223" s="21"/>
    </row>
    <row r="224" spans="2:48" ht="15.75">
      <c r="B224" s="32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30"/>
      <c r="AP224" s="31"/>
      <c r="AQ224" s="21"/>
      <c r="AR224" s="21"/>
      <c r="AS224" s="21"/>
      <c r="AT224" s="21"/>
      <c r="AU224" s="21"/>
      <c r="AV224" s="21"/>
    </row>
    <row r="225" spans="2:48" ht="15.75">
      <c r="B225" s="32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30"/>
      <c r="AP225" s="31"/>
      <c r="AQ225" s="21"/>
      <c r="AR225" s="21"/>
      <c r="AS225" s="21"/>
      <c r="AT225" s="21"/>
      <c r="AU225" s="21"/>
      <c r="AV225" s="21"/>
    </row>
    <row r="226" spans="2:48" ht="15.75">
      <c r="B226" s="32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30"/>
      <c r="AP226" s="31"/>
      <c r="AQ226" s="21"/>
      <c r="AR226" s="21"/>
      <c r="AS226" s="21"/>
      <c r="AT226" s="21"/>
      <c r="AU226" s="21"/>
      <c r="AV226" s="21"/>
    </row>
    <row r="227" spans="2:48" ht="15.75">
      <c r="B227" s="32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30"/>
      <c r="AP227" s="31"/>
      <c r="AQ227" s="21"/>
      <c r="AR227" s="21"/>
      <c r="AS227" s="21"/>
      <c r="AT227" s="21"/>
      <c r="AU227" s="21"/>
      <c r="AV227" s="21"/>
    </row>
    <row r="228" spans="2:48" ht="15.75">
      <c r="B228" s="32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30"/>
      <c r="AP228" s="31"/>
      <c r="AQ228" s="21"/>
      <c r="AR228" s="21"/>
      <c r="AS228" s="21"/>
      <c r="AT228" s="21"/>
      <c r="AU228" s="21"/>
      <c r="AV228" s="21"/>
    </row>
    <row r="229" spans="2:48" ht="15.75">
      <c r="B229" s="32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30"/>
      <c r="AP229" s="31"/>
      <c r="AQ229" s="21"/>
      <c r="AR229" s="21"/>
      <c r="AS229" s="21"/>
      <c r="AT229" s="21"/>
      <c r="AU229" s="21"/>
      <c r="AV229" s="21"/>
    </row>
    <row r="230" spans="2:48" ht="15.75">
      <c r="B230" s="32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30"/>
      <c r="AP230" s="31"/>
      <c r="AQ230" s="21"/>
      <c r="AR230" s="21"/>
      <c r="AS230" s="21"/>
      <c r="AT230" s="21"/>
      <c r="AU230" s="21"/>
      <c r="AV230" s="21"/>
    </row>
    <row r="231" spans="2:48" ht="15.75">
      <c r="B231" s="32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30"/>
      <c r="AP231" s="31"/>
      <c r="AQ231" s="21"/>
      <c r="AR231" s="21"/>
      <c r="AS231" s="21"/>
      <c r="AT231" s="21"/>
      <c r="AU231" s="21"/>
      <c r="AV231" s="21"/>
    </row>
    <row r="232" spans="2:48" ht="15.75">
      <c r="B232" s="32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30"/>
      <c r="AP232" s="31"/>
      <c r="AQ232" s="21"/>
      <c r="AR232" s="21"/>
      <c r="AS232" s="21"/>
      <c r="AT232" s="21"/>
      <c r="AU232" s="21"/>
      <c r="AV232" s="21"/>
    </row>
    <row r="233" spans="2:48" ht="15.75">
      <c r="B233" s="32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30"/>
      <c r="AP233" s="31"/>
      <c r="AQ233" s="21"/>
      <c r="AR233" s="21"/>
      <c r="AS233" s="21"/>
      <c r="AT233" s="21"/>
      <c r="AU233" s="21"/>
      <c r="AV233" s="21"/>
    </row>
    <row r="234" spans="2:48" ht="15.75">
      <c r="B234" s="32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30"/>
      <c r="AP234" s="31"/>
      <c r="AQ234" s="21"/>
      <c r="AR234" s="21"/>
      <c r="AS234" s="21"/>
      <c r="AT234" s="21"/>
      <c r="AU234" s="21"/>
      <c r="AV234" s="21"/>
    </row>
    <row r="235" spans="2:48" ht="15.75">
      <c r="B235" s="32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30"/>
      <c r="AP235" s="31"/>
      <c r="AQ235" s="21"/>
      <c r="AR235" s="21"/>
      <c r="AS235" s="21"/>
      <c r="AT235" s="21"/>
      <c r="AU235" s="21"/>
      <c r="AV235" s="21"/>
    </row>
    <row r="236" spans="2:48" ht="15.75">
      <c r="B236" s="32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30"/>
      <c r="AP236" s="31"/>
      <c r="AQ236" s="21"/>
      <c r="AR236" s="21"/>
      <c r="AS236" s="21"/>
      <c r="AT236" s="21"/>
      <c r="AU236" s="21"/>
      <c r="AV236" s="21"/>
    </row>
    <row r="237" spans="2:48" ht="15.75">
      <c r="B237" s="32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30"/>
      <c r="AP237" s="31"/>
      <c r="AQ237" s="21"/>
      <c r="AR237" s="21"/>
      <c r="AS237" s="21"/>
      <c r="AT237" s="21"/>
      <c r="AU237" s="21"/>
      <c r="AV237" s="21"/>
    </row>
    <row r="238" spans="2:48" ht="15.75">
      <c r="B238" s="32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30"/>
      <c r="AP238" s="31"/>
      <c r="AQ238" s="21"/>
      <c r="AR238" s="21"/>
      <c r="AS238" s="21"/>
      <c r="AT238" s="21"/>
      <c r="AU238" s="21"/>
      <c r="AV238" s="21"/>
    </row>
    <row r="239" spans="2:48" ht="15.75">
      <c r="B239" s="32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30"/>
      <c r="AP239" s="31"/>
      <c r="AQ239" s="21"/>
      <c r="AR239" s="21"/>
      <c r="AS239" s="21"/>
      <c r="AT239" s="21"/>
      <c r="AU239" s="21"/>
      <c r="AV239" s="21"/>
    </row>
    <row r="240" spans="2:48" ht="15.75">
      <c r="B240" s="32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30"/>
      <c r="AP240" s="31"/>
      <c r="AQ240" s="21"/>
      <c r="AR240" s="21"/>
      <c r="AS240" s="21"/>
      <c r="AT240" s="21"/>
      <c r="AU240" s="21"/>
      <c r="AV240" s="21"/>
    </row>
    <row r="241" spans="2:48" ht="15.75">
      <c r="B241" s="32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30"/>
      <c r="AP241" s="31"/>
      <c r="AQ241" s="21"/>
      <c r="AR241" s="21"/>
      <c r="AS241" s="21"/>
      <c r="AT241" s="21"/>
      <c r="AU241" s="21"/>
      <c r="AV241" s="21"/>
    </row>
    <row r="242" spans="2:48" ht="15.75">
      <c r="B242" s="32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30"/>
      <c r="AP242" s="31"/>
      <c r="AQ242" s="21"/>
      <c r="AR242" s="21"/>
      <c r="AS242" s="21"/>
      <c r="AT242" s="21"/>
      <c r="AU242" s="21"/>
      <c r="AV242" s="21"/>
    </row>
    <row r="243" spans="2:48" ht="15.75">
      <c r="B243" s="32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30"/>
      <c r="AP243" s="31"/>
      <c r="AQ243" s="21"/>
      <c r="AR243" s="21"/>
      <c r="AS243" s="21"/>
      <c r="AT243" s="21"/>
      <c r="AU243" s="21"/>
      <c r="AV243" s="21"/>
    </row>
    <row r="244" spans="2:48" ht="15.75">
      <c r="B244" s="32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30"/>
      <c r="AP244" s="31"/>
      <c r="AQ244" s="21"/>
      <c r="AR244" s="21"/>
      <c r="AS244" s="21"/>
      <c r="AT244" s="21"/>
      <c r="AU244" s="21"/>
      <c r="AV244" s="21"/>
    </row>
    <row r="245" spans="2:48" ht="15.75">
      <c r="B245" s="32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30"/>
      <c r="AP245" s="31"/>
      <c r="AQ245" s="21"/>
      <c r="AR245" s="21"/>
      <c r="AS245" s="21"/>
      <c r="AT245" s="21"/>
      <c r="AU245" s="21"/>
      <c r="AV245" s="21"/>
    </row>
    <row r="246" spans="2:48" ht="15.75">
      <c r="B246" s="32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30"/>
      <c r="AP246" s="31"/>
      <c r="AQ246" s="21"/>
      <c r="AR246" s="21"/>
      <c r="AS246" s="21"/>
      <c r="AT246" s="21"/>
      <c r="AU246" s="21"/>
      <c r="AV246" s="21"/>
    </row>
    <row r="247" spans="2:48" ht="15.75">
      <c r="B247" s="32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30"/>
      <c r="AP247" s="31"/>
      <c r="AQ247" s="21"/>
      <c r="AR247" s="21"/>
      <c r="AS247" s="21"/>
      <c r="AT247" s="21"/>
      <c r="AU247" s="21"/>
      <c r="AV247" s="21"/>
    </row>
    <row r="248" spans="2:48" ht="15.75">
      <c r="B248" s="32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30"/>
      <c r="AP248" s="31"/>
      <c r="AQ248" s="21"/>
      <c r="AR248" s="21"/>
      <c r="AS248" s="21"/>
      <c r="AT248" s="21"/>
      <c r="AU248" s="21"/>
      <c r="AV248" s="21"/>
    </row>
    <row r="249" spans="2:48" ht="15.75">
      <c r="B249" s="32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30"/>
      <c r="AP249" s="31"/>
      <c r="AQ249" s="21"/>
      <c r="AR249" s="21"/>
      <c r="AS249" s="21"/>
      <c r="AT249" s="21"/>
      <c r="AU249" s="21"/>
      <c r="AV249" s="21"/>
    </row>
    <row r="250" spans="2:48" ht="15.75">
      <c r="B250" s="32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30"/>
      <c r="AP250" s="31"/>
      <c r="AQ250" s="21"/>
      <c r="AR250" s="21"/>
      <c r="AS250" s="21"/>
      <c r="AT250" s="21"/>
      <c r="AU250" s="21"/>
      <c r="AV250" s="21"/>
    </row>
    <row r="251" spans="2:48" ht="15.75">
      <c r="B251" s="32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30"/>
      <c r="AP251" s="31"/>
      <c r="AQ251" s="21"/>
      <c r="AR251" s="21"/>
      <c r="AS251" s="21"/>
      <c r="AT251" s="21"/>
      <c r="AU251" s="21"/>
      <c r="AV251" s="21"/>
    </row>
    <row r="252" spans="2:48" ht="15.75">
      <c r="B252" s="32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30"/>
      <c r="AP252" s="31"/>
      <c r="AQ252" s="21"/>
      <c r="AR252" s="21"/>
      <c r="AS252" s="21"/>
      <c r="AT252" s="21"/>
      <c r="AU252" s="21"/>
      <c r="AV252" s="21"/>
    </row>
    <row r="253" spans="2:48" ht="15.75">
      <c r="B253" s="32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30"/>
      <c r="AP253" s="31"/>
      <c r="AQ253" s="21"/>
      <c r="AR253" s="21"/>
      <c r="AS253" s="21"/>
      <c r="AT253" s="21"/>
      <c r="AU253" s="21"/>
      <c r="AV253" s="21"/>
    </row>
    <row r="254" spans="2:48" ht="15.75">
      <c r="B254" s="32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30"/>
      <c r="AP254" s="31"/>
      <c r="AQ254" s="21"/>
      <c r="AR254" s="21"/>
      <c r="AS254" s="21"/>
      <c r="AT254" s="21"/>
      <c r="AU254" s="21"/>
      <c r="AV254" s="21"/>
    </row>
  </sheetData>
  <sheetProtection password="EA4E" sheet="1" formatCells="0" formatColumns="0" formatRows="0" insertColumns="0" insertRows="0" insertHyperlinks="0" deleteColumns="0" deleteRows="0" sort="0" autoFilter="0" pivotTables="0"/>
  <mergeCells count="6">
    <mergeCell ref="AO1:AO2"/>
    <mergeCell ref="B1:B2"/>
    <mergeCell ref="A1:A2"/>
    <mergeCell ref="A68:A85"/>
    <mergeCell ref="A3:A19"/>
    <mergeCell ref="A20:A60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2015-12-07T13:26:55Z</cp:lastPrinted>
  <dcterms:created xsi:type="dcterms:W3CDTF">2006-09-28T05:33:49Z</dcterms:created>
  <dcterms:modified xsi:type="dcterms:W3CDTF">2017-11-30T10:46:48Z</dcterms:modified>
  <cp:category/>
  <cp:version/>
  <cp:contentType/>
  <cp:contentStatus/>
</cp:coreProperties>
</file>